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orgenrotplc.sharepoint.com/sites/Directors2/Shared Documents/prices/wine cost master/"/>
    </mc:Choice>
  </mc:AlternateContent>
  <xr:revisionPtr revIDLastSave="4" documentId="8_{9C37A7BC-03EE-4450-8CDB-898C548E6490}" xr6:coauthVersionLast="46" xr6:coauthVersionMax="46" xr10:uidLastSave="{CAD1B7E4-C91F-4D73-BA86-3027363B98EF}"/>
  <bookViews>
    <workbookView xWindow="-93" yWindow="-93" windowWidth="20186" windowHeight="13066" tabRatio="905" xr2:uid="{00000000-000D-0000-FFFF-FFFF00000000}"/>
  </bookViews>
  <sheets>
    <sheet name="Wine" sheetId="2" r:id="rId1"/>
    <sheet name="Nationals " sheetId="30" state="hidden" r:id="rId2"/>
    <sheet name="Fortified" sheetId="18" r:id="rId3"/>
    <sheet name="Spirit" sheetId="25" r:id="rId4"/>
  </sheets>
  <definedNames>
    <definedName name="_xlnm._FilterDatabase" localSheetId="2" hidden="1">Fortified!$A$3:$N$3</definedName>
    <definedName name="_xlnm._FilterDatabase" localSheetId="1" hidden="1">'Nationals '!$A$6:$AJ$19</definedName>
    <definedName name="_xlnm._FilterDatabase" localSheetId="3" hidden="1">Spirit!$A$3:$N$3</definedName>
    <definedName name="_xlnm._FilterDatabase" localSheetId="0" hidden="1">Wine!$A$3:$M$252</definedName>
    <definedName name="ALCDUTY" localSheetId="2">#REF!</definedName>
    <definedName name="ALCDUTY" localSheetId="3">#REF!</definedName>
    <definedName name="ALCDUTY">#REF!</definedName>
    <definedName name="ALCODUTY">#REF!</definedName>
    <definedName name="CCT">#REF!</definedName>
    <definedName name="CHAMP" localSheetId="2">#REF!</definedName>
    <definedName name="CHAMP" localSheetId="3">#REF!</definedName>
    <definedName name="CHAMP">#REF!</definedName>
    <definedName name="CHAMPDUTY">#REF!</definedName>
    <definedName name="COM">#REF!</definedName>
    <definedName name="DOLLAR">#REF!</definedName>
    <definedName name="EU">#REF!</definedName>
    <definedName name="EURO">#REF!</definedName>
    <definedName name="FAST" localSheetId="2">#REF!</definedName>
    <definedName name="FAST" localSheetId="3">#REF!</definedName>
    <definedName name="FAST">#REF!</definedName>
    <definedName name="FASTRATE" localSheetId="2">#REF!</definedName>
    <definedName name="FASTRATE" localSheetId="3">#REF!</definedName>
    <definedName name="FASTRATE">#REF!</definedName>
    <definedName name="FORT">#REF!</definedName>
    <definedName name="FTA">#REF!</definedName>
    <definedName name="LOWWINEDUTY" localSheetId="3">#REF!</definedName>
    <definedName name="LOWWINEDUTY">#REF!</definedName>
    <definedName name="LTRDEL" localSheetId="2">#REF!</definedName>
    <definedName name="LTRDEL" localSheetId="3">#REF!</definedName>
    <definedName name="LTRDEL">#REF!</definedName>
    <definedName name="MARKETING" localSheetId="2">#REF!</definedName>
    <definedName name="MARKETING" localSheetId="3">#REF!</definedName>
    <definedName name="MARKETING">#REF!</definedName>
    <definedName name="MBCOM" localSheetId="3">#REF!</definedName>
    <definedName name="MBCOM">#REF!</definedName>
    <definedName name="MEDIUM" localSheetId="2">#REF!</definedName>
    <definedName name="MEDIUM" localSheetId="3">#REF!</definedName>
    <definedName name="MEDIUM">#REF!</definedName>
    <definedName name="MEDRATE" localSheetId="2">#REF!</definedName>
    <definedName name="MEDRATE" localSheetId="3">#REF!</definedName>
    <definedName name="MEDRATE">#REF!</definedName>
    <definedName name="MKT">#REF!</definedName>
    <definedName name="NZDOLLAR">#REF!</definedName>
    <definedName name="OZDOLLAR">#REF!</definedName>
    <definedName name="_xlnm.Print_Area" localSheetId="3">Spirit!$F$1:$G$4</definedName>
    <definedName name="_xlnm.Print_Area" localSheetId="0">Wine!$F$1:$F$184</definedName>
    <definedName name="_xlnm.Print_Titles" localSheetId="3">Spirit!$1:$2</definedName>
    <definedName name="_xlnm.Print_Titles" localSheetId="0">Wine!$1:$2</definedName>
    <definedName name="RHD">#REF!</definedName>
    <definedName name="SHERRYDUTY">#REF!</definedName>
    <definedName name="SLOW" localSheetId="2">#REF!</definedName>
    <definedName name="SLOW" localSheetId="3">#REF!</definedName>
    <definedName name="SLOW">#REF!</definedName>
    <definedName name="SLOWRATE" localSheetId="2">#REF!</definedName>
    <definedName name="SLOWRATE" localSheetId="3">#REF!</definedName>
    <definedName name="SLOWRATE">#REF!</definedName>
    <definedName name="SPT">#REF!</definedName>
    <definedName name="VERYLOWWINEDUTY" localSheetId="3">#REF!</definedName>
    <definedName name="VERYLOWWINEDUTY">#REF!</definedName>
    <definedName name="WINE" localSheetId="2">#REF!</definedName>
    <definedName name="WINE" localSheetId="3">#REF!</definedName>
    <definedName name="WINE">#REF!</definedName>
    <definedName name="WINEDUTY">#REF!</definedName>
    <definedName name="WTO">#REF!</definedName>
    <definedName name="ZAR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2" l="1"/>
  <c r="L47" i="2"/>
  <c r="M47" i="2"/>
  <c r="K46" i="2"/>
  <c r="L46" i="2"/>
  <c r="M46" i="2"/>
  <c r="K45" i="2"/>
  <c r="L45" i="2"/>
  <c r="M45" i="2"/>
  <c r="K44" i="2"/>
  <c r="L44" i="2"/>
  <c r="M44" i="2"/>
  <c r="K48" i="2"/>
  <c r="L48" i="2"/>
  <c r="M48" i="2"/>
  <c r="K49" i="2"/>
  <c r="L49" i="2"/>
  <c r="M49" i="2"/>
  <c r="K51" i="2"/>
  <c r="L51" i="2"/>
  <c r="M51" i="2"/>
  <c r="K50" i="2"/>
  <c r="L50" i="2"/>
  <c r="M50" i="2"/>
  <c r="K43" i="2"/>
  <c r="L43" i="2"/>
  <c r="M43" i="2"/>
  <c r="K52" i="2"/>
  <c r="L52" i="2"/>
  <c r="M52" i="2"/>
  <c r="K53" i="2"/>
  <c r="L53" i="2"/>
  <c r="M53" i="2"/>
  <c r="K55" i="2"/>
  <c r="L55" i="2"/>
  <c r="M55" i="2"/>
  <c r="K54" i="2"/>
  <c r="L54" i="2"/>
  <c r="M54" i="2"/>
  <c r="K56" i="2"/>
  <c r="L56" i="2"/>
  <c r="M56" i="2"/>
  <c r="K59" i="2"/>
  <c r="L59" i="2"/>
  <c r="M59" i="2"/>
  <c r="K57" i="2"/>
  <c r="L57" i="2"/>
  <c r="M57" i="2"/>
  <c r="K58" i="2"/>
  <c r="L58" i="2"/>
  <c r="M58" i="2"/>
  <c r="K62" i="2"/>
  <c r="L62" i="2"/>
  <c r="M62" i="2"/>
  <c r="K60" i="2"/>
  <c r="L60" i="2"/>
  <c r="M60" i="2"/>
  <c r="K61" i="2"/>
  <c r="L61" i="2"/>
  <c r="M61" i="2"/>
  <c r="K63" i="2"/>
  <c r="L63" i="2"/>
  <c r="M63" i="2"/>
  <c r="K66" i="2"/>
  <c r="L66" i="2"/>
  <c r="M66" i="2"/>
  <c r="K64" i="2"/>
  <c r="L64" i="2"/>
  <c r="M64" i="2"/>
  <c r="K75" i="2"/>
  <c r="L75" i="2"/>
  <c r="M75" i="2"/>
  <c r="K76" i="2"/>
  <c r="L76" i="2"/>
  <c r="M76" i="2"/>
  <c r="K77" i="2"/>
  <c r="L77" i="2"/>
  <c r="M77" i="2"/>
  <c r="K79" i="2"/>
  <c r="L79" i="2"/>
  <c r="M79" i="2"/>
  <c r="K67" i="2"/>
  <c r="L67" i="2"/>
  <c r="M67" i="2"/>
  <c r="K68" i="2"/>
  <c r="L68" i="2"/>
  <c r="M68" i="2"/>
  <c r="K72" i="2"/>
  <c r="L72" i="2"/>
  <c r="M72" i="2"/>
  <c r="K71" i="2"/>
  <c r="L71" i="2"/>
  <c r="M71" i="2"/>
  <c r="K65" i="2"/>
  <c r="L65" i="2"/>
  <c r="M65" i="2"/>
  <c r="K69" i="2"/>
  <c r="L69" i="2"/>
  <c r="M69" i="2"/>
  <c r="K70" i="2"/>
  <c r="L70" i="2"/>
  <c r="M70" i="2"/>
  <c r="K78" i="2"/>
  <c r="L78" i="2"/>
  <c r="M78" i="2"/>
  <c r="K73" i="2"/>
  <c r="L73" i="2"/>
  <c r="M73" i="2"/>
  <c r="K74" i="2"/>
  <c r="L74" i="2"/>
  <c r="M74" i="2"/>
  <c r="K81" i="2"/>
  <c r="L81" i="2"/>
  <c r="M81" i="2"/>
  <c r="K80" i="2"/>
  <c r="L80" i="2"/>
  <c r="M80" i="2"/>
  <c r="K8" i="2"/>
  <c r="L8" i="2"/>
  <c r="M8" i="2"/>
  <c r="K7" i="2"/>
  <c r="L7" i="2"/>
  <c r="M7" i="2"/>
  <c r="K5" i="2"/>
  <c r="L5" i="2"/>
  <c r="M5" i="2"/>
  <c r="K4" i="2"/>
  <c r="L4" i="2"/>
  <c r="M4" i="2"/>
  <c r="K6" i="2"/>
  <c r="L6" i="2"/>
  <c r="M6" i="2"/>
  <c r="K250" i="2"/>
  <c r="L250" i="2"/>
  <c r="M250" i="2"/>
  <c r="K9" i="2"/>
  <c r="L9" i="2"/>
  <c r="M9" i="2"/>
  <c r="K251" i="2"/>
  <c r="L251" i="2"/>
  <c r="M251" i="2"/>
  <c r="K252" i="2"/>
  <c r="L252" i="2"/>
  <c r="M252" i="2"/>
  <c r="K133" i="2"/>
  <c r="L133" i="2"/>
  <c r="M133" i="2"/>
  <c r="K134" i="2"/>
  <c r="L134" i="2"/>
  <c r="M134" i="2"/>
  <c r="K179" i="2"/>
  <c r="L179" i="2"/>
  <c r="M179" i="2"/>
  <c r="K180" i="2"/>
  <c r="L180" i="2"/>
  <c r="M180" i="2"/>
  <c r="K181" i="2"/>
  <c r="L181" i="2"/>
  <c r="M181" i="2"/>
  <c r="K182" i="2"/>
  <c r="L182" i="2"/>
  <c r="M182" i="2"/>
  <c r="K178" i="2"/>
  <c r="L178" i="2"/>
  <c r="M178" i="2"/>
  <c r="K183" i="2"/>
  <c r="L183" i="2"/>
  <c r="M183" i="2"/>
  <c r="K36" i="2"/>
  <c r="L36" i="2"/>
  <c r="M36" i="2"/>
  <c r="K35" i="2"/>
  <c r="L35" i="2"/>
  <c r="M35" i="2"/>
  <c r="K38" i="2"/>
  <c r="L38" i="2"/>
  <c r="M38" i="2"/>
  <c r="K37" i="2"/>
  <c r="L37" i="2"/>
  <c r="M37" i="2"/>
  <c r="K40" i="2"/>
  <c r="L40" i="2"/>
  <c r="M40" i="2"/>
  <c r="K39" i="2"/>
  <c r="L39" i="2"/>
  <c r="M39" i="2"/>
  <c r="K85" i="2"/>
  <c r="L85" i="2"/>
  <c r="M85" i="2"/>
  <c r="K83" i="2"/>
  <c r="L83" i="2"/>
  <c r="M83" i="2"/>
  <c r="K84" i="2"/>
  <c r="L84" i="2"/>
  <c r="M84" i="2"/>
  <c r="K82" i="2"/>
  <c r="L82" i="2"/>
  <c r="M82" i="2"/>
  <c r="K87" i="2"/>
  <c r="L87" i="2"/>
  <c r="M87" i="2"/>
  <c r="K86" i="2"/>
  <c r="L86" i="2"/>
  <c r="M86" i="2"/>
  <c r="K88" i="2"/>
  <c r="L88" i="2"/>
  <c r="M88" i="2"/>
  <c r="K91" i="2"/>
  <c r="L91" i="2"/>
  <c r="M91" i="2"/>
  <c r="K90" i="2"/>
  <c r="L90" i="2"/>
  <c r="M90" i="2"/>
  <c r="K89" i="2"/>
  <c r="L89" i="2"/>
  <c r="M89" i="2"/>
  <c r="K95" i="2"/>
  <c r="L95" i="2"/>
  <c r="M95" i="2"/>
  <c r="K96" i="2"/>
  <c r="L96" i="2"/>
  <c r="M96" i="2"/>
  <c r="K24" i="2"/>
  <c r="L24" i="2"/>
  <c r="M24" i="2"/>
  <c r="K25" i="2"/>
  <c r="L25" i="2"/>
  <c r="M25" i="2"/>
  <c r="K92" i="2"/>
  <c r="L92" i="2"/>
  <c r="M92" i="2"/>
  <c r="K94" i="2"/>
  <c r="L94" i="2"/>
  <c r="M94" i="2"/>
  <c r="K93" i="2"/>
  <c r="L93" i="2"/>
  <c r="M93" i="2"/>
  <c r="K23" i="2"/>
  <c r="L23" i="2"/>
  <c r="M23" i="2"/>
  <c r="K184" i="2"/>
  <c r="L184" i="2"/>
  <c r="M184" i="2"/>
  <c r="K185" i="2"/>
  <c r="L185" i="2"/>
  <c r="M185" i="2"/>
  <c r="K169" i="2"/>
  <c r="L169" i="2"/>
  <c r="M169" i="2"/>
  <c r="K168" i="2"/>
  <c r="L168" i="2"/>
  <c r="M168" i="2"/>
  <c r="K170" i="2"/>
  <c r="L170" i="2"/>
  <c r="M170" i="2"/>
  <c r="K186" i="2"/>
  <c r="L186" i="2"/>
  <c r="M186" i="2"/>
  <c r="K187" i="2"/>
  <c r="L187" i="2"/>
  <c r="M187" i="2"/>
  <c r="K188" i="2"/>
  <c r="L188" i="2"/>
  <c r="M188" i="2"/>
  <c r="K189" i="2"/>
  <c r="L189" i="2"/>
  <c r="M189" i="2"/>
  <c r="K131" i="2"/>
  <c r="L131" i="2"/>
  <c r="M131" i="2"/>
  <c r="K132" i="2"/>
  <c r="L132" i="2"/>
  <c r="M132" i="2"/>
  <c r="K97" i="2"/>
  <c r="L97" i="2"/>
  <c r="M97" i="2"/>
  <c r="K98" i="2"/>
  <c r="L98" i="2"/>
  <c r="M98" i="2"/>
  <c r="K100" i="2"/>
  <c r="L100" i="2"/>
  <c r="M100" i="2"/>
  <c r="K99" i="2"/>
  <c r="L99" i="2"/>
  <c r="M99" i="2"/>
  <c r="K104" i="2"/>
  <c r="L104" i="2"/>
  <c r="M104" i="2"/>
  <c r="K103" i="2"/>
  <c r="L103" i="2"/>
  <c r="M103" i="2"/>
  <c r="K102" i="2"/>
  <c r="L102" i="2"/>
  <c r="M102" i="2"/>
  <c r="K101" i="2"/>
  <c r="L101" i="2"/>
  <c r="M101" i="2"/>
  <c r="K106" i="2"/>
  <c r="L106" i="2"/>
  <c r="M106" i="2"/>
  <c r="K105" i="2"/>
  <c r="L105" i="2"/>
  <c r="M105" i="2"/>
  <c r="K107" i="2"/>
  <c r="L107" i="2"/>
  <c r="M107" i="2"/>
  <c r="K112" i="2"/>
  <c r="L112" i="2"/>
  <c r="M112" i="2"/>
  <c r="K108" i="2"/>
  <c r="L108" i="2"/>
  <c r="M108" i="2"/>
  <c r="K115" i="2"/>
  <c r="L115" i="2"/>
  <c r="M115" i="2"/>
  <c r="K116" i="2"/>
  <c r="L116" i="2"/>
  <c r="M116" i="2"/>
  <c r="K172" i="2"/>
  <c r="L172" i="2"/>
  <c r="M172" i="2"/>
  <c r="K109" i="2"/>
  <c r="L109" i="2"/>
  <c r="M109" i="2"/>
  <c r="K111" i="2"/>
  <c r="L111" i="2"/>
  <c r="M111" i="2"/>
  <c r="K113" i="2"/>
  <c r="L113" i="2"/>
  <c r="M113" i="2"/>
  <c r="K114" i="2"/>
  <c r="L114" i="2"/>
  <c r="M114" i="2"/>
  <c r="K110" i="2"/>
  <c r="L110" i="2"/>
  <c r="M110" i="2"/>
  <c r="K42" i="2"/>
  <c r="L42" i="2"/>
  <c r="M42" i="2"/>
  <c r="K41" i="2"/>
  <c r="L41" i="2"/>
  <c r="M41" i="2"/>
  <c r="K135" i="2"/>
  <c r="L135" i="2"/>
  <c r="M135" i="2"/>
  <c r="K171" i="2"/>
  <c r="L171" i="2"/>
  <c r="M171" i="2"/>
  <c r="K10" i="2"/>
  <c r="L10" i="2"/>
  <c r="M10" i="2"/>
  <c r="K13" i="2"/>
  <c r="L13" i="2"/>
  <c r="M13" i="2"/>
  <c r="K11" i="2"/>
  <c r="L11" i="2"/>
  <c r="M11" i="2"/>
  <c r="K12" i="2"/>
  <c r="L12" i="2"/>
  <c r="M12" i="2"/>
  <c r="K14" i="2"/>
  <c r="L14" i="2"/>
  <c r="M14" i="2"/>
  <c r="K15" i="2"/>
  <c r="L15" i="2"/>
  <c r="M15" i="2"/>
  <c r="K117" i="2"/>
  <c r="L117" i="2"/>
  <c r="M117" i="2"/>
  <c r="K190" i="2"/>
  <c r="L190" i="2"/>
  <c r="M190" i="2"/>
  <c r="K191" i="2"/>
  <c r="L191" i="2"/>
  <c r="M191" i="2"/>
  <c r="K16" i="2"/>
  <c r="L16" i="2"/>
  <c r="M16" i="2"/>
  <c r="K193" i="2"/>
  <c r="L193" i="2"/>
  <c r="M193" i="2"/>
  <c r="K192" i="2"/>
  <c r="L192" i="2"/>
  <c r="M192" i="2"/>
  <c r="K197" i="2"/>
  <c r="L197" i="2"/>
  <c r="M197" i="2"/>
  <c r="K196" i="2"/>
  <c r="L196" i="2"/>
  <c r="M196" i="2"/>
  <c r="K194" i="2"/>
  <c r="L194" i="2"/>
  <c r="M194" i="2"/>
  <c r="K195" i="2"/>
  <c r="L195" i="2"/>
  <c r="M195" i="2"/>
  <c r="K198" i="2"/>
  <c r="L198" i="2"/>
  <c r="M198" i="2"/>
  <c r="K200" i="2"/>
  <c r="L200" i="2"/>
  <c r="M200" i="2"/>
  <c r="K199" i="2"/>
  <c r="L199" i="2"/>
  <c r="M199" i="2"/>
  <c r="K201" i="2"/>
  <c r="L201" i="2"/>
  <c r="M201" i="2"/>
  <c r="K203" i="2"/>
  <c r="L203" i="2"/>
  <c r="M203" i="2"/>
  <c r="K202" i="2"/>
  <c r="L202" i="2"/>
  <c r="M202" i="2"/>
  <c r="K136" i="2"/>
  <c r="L136" i="2"/>
  <c r="M136" i="2"/>
  <c r="K137" i="2"/>
  <c r="L137" i="2"/>
  <c r="M137" i="2"/>
  <c r="K138" i="2"/>
  <c r="L138" i="2"/>
  <c r="M138" i="2"/>
  <c r="K139" i="2"/>
  <c r="L139" i="2"/>
  <c r="M139" i="2"/>
  <c r="K119" i="2"/>
  <c r="L119" i="2"/>
  <c r="M119" i="2"/>
  <c r="K120" i="2"/>
  <c r="L120" i="2"/>
  <c r="M120" i="2"/>
  <c r="K123" i="2"/>
  <c r="L123" i="2"/>
  <c r="M123" i="2"/>
  <c r="K122" i="2"/>
  <c r="L122" i="2"/>
  <c r="M122" i="2"/>
  <c r="K118" i="2"/>
  <c r="L118" i="2"/>
  <c r="M118" i="2"/>
  <c r="K121" i="2"/>
  <c r="L121" i="2"/>
  <c r="M121" i="2"/>
  <c r="K124" i="2"/>
  <c r="L124" i="2"/>
  <c r="M124" i="2"/>
  <c r="K127" i="2"/>
  <c r="L127" i="2"/>
  <c r="M127" i="2"/>
  <c r="K125" i="2"/>
  <c r="L125" i="2"/>
  <c r="M125" i="2"/>
  <c r="K126" i="2"/>
  <c r="L126" i="2"/>
  <c r="M126" i="2"/>
  <c r="K129" i="2"/>
  <c r="L129" i="2"/>
  <c r="M129" i="2"/>
  <c r="K128" i="2"/>
  <c r="L128" i="2"/>
  <c r="M128" i="2"/>
  <c r="K130" i="2"/>
  <c r="L130" i="2"/>
  <c r="M130" i="2"/>
  <c r="K207" i="2"/>
  <c r="L207" i="2"/>
  <c r="M207" i="2"/>
  <c r="K206" i="2"/>
  <c r="L206" i="2"/>
  <c r="M206" i="2"/>
  <c r="K205" i="2"/>
  <c r="L205" i="2"/>
  <c r="M205" i="2"/>
  <c r="K204" i="2"/>
  <c r="L204" i="2"/>
  <c r="M204" i="2"/>
  <c r="K212" i="2"/>
  <c r="L212" i="2"/>
  <c r="M212" i="2"/>
  <c r="K211" i="2"/>
  <c r="L211" i="2"/>
  <c r="M211" i="2"/>
  <c r="K210" i="2"/>
  <c r="L210" i="2"/>
  <c r="M210" i="2"/>
  <c r="K209" i="2"/>
  <c r="L209" i="2"/>
  <c r="M209" i="2"/>
  <c r="K208" i="2"/>
  <c r="L208" i="2"/>
  <c r="M208" i="2"/>
  <c r="K213" i="2"/>
  <c r="L213" i="2"/>
  <c r="M213" i="2"/>
  <c r="K214" i="2"/>
  <c r="L214" i="2"/>
  <c r="M214" i="2"/>
  <c r="K216" i="2"/>
  <c r="L216" i="2"/>
  <c r="M216" i="2"/>
  <c r="K215" i="2"/>
  <c r="L215" i="2"/>
  <c r="M215" i="2"/>
  <c r="K217" i="2"/>
  <c r="L217" i="2"/>
  <c r="M217" i="2"/>
  <c r="K218" i="2"/>
  <c r="L218" i="2"/>
  <c r="M218" i="2"/>
  <c r="K223" i="2"/>
  <c r="L223" i="2"/>
  <c r="M223" i="2"/>
  <c r="K221" i="2"/>
  <c r="L221" i="2"/>
  <c r="M221" i="2"/>
  <c r="K220" i="2"/>
  <c r="L220" i="2"/>
  <c r="M220" i="2"/>
  <c r="K219" i="2"/>
  <c r="L219" i="2"/>
  <c r="M219" i="2"/>
  <c r="K222" i="2"/>
  <c r="L222" i="2"/>
  <c r="M222" i="2"/>
  <c r="K234" i="2"/>
  <c r="L234" i="2"/>
  <c r="M234" i="2"/>
  <c r="K226" i="2"/>
  <c r="L226" i="2"/>
  <c r="M226" i="2"/>
  <c r="K227" i="2"/>
  <c r="L227" i="2"/>
  <c r="M227" i="2"/>
  <c r="K235" i="2"/>
  <c r="L235" i="2"/>
  <c r="M235" i="2"/>
  <c r="K232" i="2"/>
  <c r="L232" i="2"/>
  <c r="M232" i="2"/>
  <c r="K233" i="2"/>
  <c r="L233" i="2"/>
  <c r="M233" i="2"/>
  <c r="K228" i="2"/>
  <c r="L228" i="2"/>
  <c r="M228" i="2"/>
  <c r="K231" i="2"/>
  <c r="L231" i="2"/>
  <c r="M231" i="2"/>
  <c r="K230" i="2"/>
  <c r="L230" i="2"/>
  <c r="M230" i="2"/>
  <c r="K26" i="2"/>
  <c r="L26" i="2"/>
  <c r="M26" i="2"/>
  <c r="K28" i="2"/>
  <c r="L28" i="2"/>
  <c r="M28" i="2"/>
  <c r="K27" i="2"/>
  <c r="L27" i="2"/>
  <c r="M27" i="2"/>
  <c r="K229" i="2"/>
  <c r="L229" i="2"/>
  <c r="M229" i="2"/>
  <c r="K224" i="2"/>
  <c r="L224" i="2"/>
  <c r="M224" i="2"/>
  <c r="K225" i="2"/>
  <c r="L225" i="2"/>
  <c r="M225" i="2"/>
  <c r="K17" i="2"/>
  <c r="L17" i="2"/>
  <c r="M17" i="2"/>
  <c r="K20" i="2"/>
  <c r="L20" i="2"/>
  <c r="M20" i="2"/>
  <c r="K18" i="2"/>
  <c r="L18" i="2"/>
  <c r="M18" i="2"/>
  <c r="K19" i="2"/>
  <c r="L19" i="2"/>
  <c r="M19" i="2"/>
  <c r="K21" i="2"/>
  <c r="L21" i="2"/>
  <c r="M21" i="2"/>
  <c r="K22" i="2"/>
  <c r="L22" i="2"/>
  <c r="M22" i="2"/>
  <c r="K29" i="2"/>
  <c r="L29" i="2"/>
  <c r="M29" i="2"/>
  <c r="K32" i="2"/>
  <c r="L32" i="2"/>
  <c r="M32" i="2"/>
  <c r="K31" i="2"/>
  <c r="L31" i="2"/>
  <c r="M31" i="2"/>
  <c r="K30" i="2"/>
  <c r="L30" i="2"/>
  <c r="M30" i="2"/>
  <c r="K33" i="2"/>
  <c r="L33" i="2"/>
  <c r="M33" i="2"/>
  <c r="K34" i="2"/>
  <c r="L34" i="2"/>
  <c r="M34" i="2"/>
  <c r="K239" i="2"/>
  <c r="L239" i="2"/>
  <c r="M239" i="2"/>
  <c r="K236" i="2"/>
  <c r="L236" i="2"/>
  <c r="M236" i="2"/>
  <c r="K238" i="2"/>
  <c r="L238" i="2"/>
  <c r="M238" i="2"/>
  <c r="K237" i="2"/>
  <c r="L237" i="2"/>
  <c r="M237" i="2"/>
  <c r="K240" i="2"/>
  <c r="L240" i="2"/>
  <c r="M240" i="2"/>
  <c r="K143" i="2"/>
  <c r="L143" i="2"/>
  <c r="M143" i="2"/>
  <c r="K144" i="2"/>
  <c r="L144" i="2"/>
  <c r="M144" i="2"/>
  <c r="K142" i="2"/>
  <c r="L142" i="2"/>
  <c r="M142" i="2"/>
  <c r="K141" i="2"/>
  <c r="L141" i="2"/>
  <c r="M141" i="2"/>
  <c r="K140" i="2"/>
  <c r="L140" i="2"/>
  <c r="M140" i="2"/>
  <c r="K145" i="2"/>
  <c r="L145" i="2"/>
  <c r="M145" i="2"/>
  <c r="K147" i="2"/>
  <c r="L147" i="2"/>
  <c r="M147" i="2"/>
  <c r="K149" i="2"/>
  <c r="L149" i="2"/>
  <c r="M149" i="2"/>
  <c r="K148" i="2"/>
  <c r="L148" i="2"/>
  <c r="M148" i="2"/>
  <c r="K146" i="2"/>
  <c r="L146" i="2"/>
  <c r="M146" i="2"/>
  <c r="K159" i="2"/>
  <c r="L159" i="2"/>
  <c r="M159" i="2"/>
  <c r="K160" i="2"/>
  <c r="L160" i="2"/>
  <c r="M160" i="2"/>
  <c r="K164" i="2"/>
  <c r="L164" i="2"/>
  <c r="M164" i="2"/>
  <c r="K165" i="2"/>
  <c r="L165" i="2"/>
  <c r="M165" i="2"/>
  <c r="K157" i="2"/>
  <c r="L157" i="2"/>
  <c r="M157" i="2"/>
  <c r="K163" i="2"/>
  <c r="L163" i="2"/>
  <c r="M163" i="2"/>
  <c r="K162" i="2"/>
  <c r="L162" i="2"/>
  <c r="M162" i="2"/>
  <c r="K151" i="2"/>
  <c r="L151" i="2"/>
  <c r="M151" i="2"/>
  <c r="K154" i="2"/>
  <c r="L154" i="2"/>
  <c r="M154" i="2"/>
  <c r="K155" i="2"/>
  <c r="L155" i="2"/>
  <c r="M155" i="2"/>
  <c r="K153" i="2"/>
  <c r="L153" i="2"/>
  <c r="M153" i="2"/>
  <c r="K167" i="2"/>
  <c r="L167" i="2"/>
  <c r="M167" i="2"/>
  <c r="K166" i="2"/>
  <c r="L166" i="2"/>
  <c r="M166" i="2"/>
  <c r="K161" i="2"/>
  <c r="L161" i="2"/>
  <c r="M161" i="2"/>
  <c r="K150" i="2"/>
  <c r="L150" i="2"/>
  <c r="M150" i="2"/>
  <c r="K156" i="2"/>
  <c r="L156" i="2"/>
  <c r="M156" i="2"/>
  <c r="K152" i="2"/>
  <c r="L152" i="2"/>
  <c r="M152" i="2"/>
  <c r="K158" i="2"/>
  <c r="L158" i="2"/>
  <c r="M158" i="2"/>
  <c r="K241" i="2"/>
  <c r="L241" i="2"/>
  <c r="M241" i="2"/>
  <c r="K242" i="2"/>
  <c r="L242" i="2"/>
  <c r="M242" i="2"/>
  <c r="K244" i="2"/>
  <c r="L244" i="2"/>
  <c r="M244" i="2"/>
  <c r="K245" i="2"/>
  <c r="L245" i="2"/>
  <c r="M245" i="2"/>
  <c r="K243" i="2"/>
  <c r="L243" i="2"/>
  <c r="M243" i="2"/>
  <c r="K175" i="2"/>
  <c r="L175" i="2"/>
  <c r="M175" i="2"/>
  <c r="K174" i="2"/>
  <c r="L174" i="2"/>
  <c r="M174" i="2"/>
  <c r="K177" i="2"/>
  <c r="L177" i="2"/>
  <c r="M177" i="2"/>
  <c r="K173" i="2"/>
  <c r="L173" i="2"/>
  <c r="M173" i="2"/>
  <c r="K176" i="2"/>
  <c r="L176" i="2"/>
  <c r="M176" i="2"/>
  <c r="K246" i="2"/>
  <c r="L246" i="2"/>
  <c r="M246" i="2"/>
  <c r="K248" i="2"/>
  <c r="L248" i="2"/>
  <c r="M248" i="2"/>
  <c r="K249" i="2"/>
  <c r="L249" i="2"/>
  <c r="M249" i="2"/>
  <c r="L29" i="25"/>
  <c r="M29" i="25"/>
  <c r="N29" i="25"/>
  <c r="L28" i="25"/>
  <c r="M28" i="25"/>
  <c r="N28" i="25"/>
  <c r="L27" i="25"/>
  <c r="M27" i="25"/>
  <c r="N27" i="25"/>
  <c r="L26" i="25"/>
  <c r="M26" i="25"/>
  <c r="N26" i="25"/>
  <c r="L25" i="25"/>
  <c r="M25" i="25"/>
  <c r="N25" i="25"/>
  <c r="L24" i="25"/>
  <c r="M24" i="25"/>
  <c r="N24" i="25"/>
  <c r="L18" i="25"/>
  <c r="M18" i="25"/>
  <c r="N18" i="25"/>
  <c r="L19" i="25"/>
  <c r="M19" i="25"/>
  <c r="N19" i="25"/>
  <c r="L20" i="25"/>
  <c r="M20" i="25"/>
  <c r="N20" i="25"/>
  <c r="L5" i="25"/>
  <c r="M5" i="25"/>
  <c r="N5" i="25"/>
  <c r="L13" i="25"/>
  <c r="M13" i="25"/>
  <c r="N13" i="25"/>
  <c r="L14" i="25"/>
  <c r="M14" i="25"/>
  <c r="N14" i="25"/>
  <c r="L10" i="25"/>
  <c r="M10" i="25"/>
  <c r="N10" i="25"/>
  <c r="L8" i="25"/>
  <c r="M8" i="25"/>
  <c r="N8" i="25"/>
  <c r="L11" i="25"/>
  <c r="M11" i="25"/>
  <c r="N11" i="25"/>
  <c r="L22" i="25"/>
  <c r="M22" i="25"/>
  <c r="N22" i="25"/>
  <c r="L12" i="25"/>
  <c r="M12" i="25"/>
  <c r="N12" i="25"/>
  <c r="L7" i="25"/>
  <c r="M7" i="25"/>
  <c r="N7" i="25"/>
  <c r="L21" i="25"/>
  <c r="M21" i="25"/>
  <c r="N21" i="25"/>
  <c r="L4" i="25"/>
  <c r="M4" i="25"/>
  <c r="N4" i="25"/>
  <c r="L9" i="25"/>
  <c r="M9" i="25"/>
  <c r="N9" i="25"/>
  <c r="L23" i="25"/>
  <c r="M23" i="25"/>
  <c r="N23" i="25"/>
  <c r="L6" i="25"/>
  <c r="M6" i="25"/>
  <c r="N6" i="25"/>
  <c r="L15" i="25"/>
  <c r="M15" i="25"/>
  <c r="N15" i="25"/>
  <c r="L16" i="25"/>
  <c r="M16" i="25"/>
  <c r="N16" i="25"/>
  <c r="L17" i="25"/>
  <c r="M17" i="25"/>
  <c r="N17" i="25"/>
  <c r="L4" i="18"/>
  <c r="M4" i="18"/>
  <c r="N4" i="18"/>
  <c r="L24" i="18"/>
  <c r="M24" i="18"/>
  <c r="N24" i="18"/>
  <c r="L21" i="18"/>
  <c r="M21" i="18"/>
  <c r="N21" i="18"/>
  <c r="L22" i="18"/>
  <c r="M22" i="18"/>
  <c r="N22" i="18"/>
  <c r="L23" i="18"/>
  <c r="M23" i="18"/>
  <c r="N23" i="18"/>
  <c r="L32" i="18"/>
  <c r="M32" i="18"/>
  <c r="N32" i="18"/>
  <c r="L31" i="18"/>
  <c r="M31" i="18"/>
  <c r="N31" i="18"/>
  <c r="L29" i="18"/>
  <c r="M29" i="18"/>
  <c r="N29" i="18"/>
  <c r="L30" i="18"/>
  <c r="M30" i="18"/>
  <c r="N30" i="18"/>
  <c r="L27" i="18"/>
  <c r="M27" i="18"/>
  <c r="N27" i="18"/>
  <c r="L28" i="18"/>
  <c r="M28" i="18"/>
  <c r="N28" i="18"/>
  <c r="L26" i="18"/>
  <c r="M26" i="18"/>
  <c r="N26" i="18"/>
  <c r="L25" i="18"/>
  <c r="M25" i="18"/>
  <c r="N25" i="18"/>
  <c r="L19" i="18"/>
  <c r="M19" i="18"/>
  <c r="N19" i="18"/>
  <c r="L20" i="18"/>
  <c r="M20" i="18"/>
  <c r="N20" i="18"/>
  <c r="L17" i="18"/>
  <c r="M17" i="18"/>
  <c r="N17" i="18"/>
  <c r="L15" i="18"/>
  <c r="M15" i="18"/>
  <c r="N15" i="18"/>
  <c r="L16" i="18"/>
  <c r="M16" i="18"/>
  <c r="N16" i="18"/>
  <c r="L14" i="18"/>
  <c r="M14" i="18"/>
  <c r="N14" i="18"/>
  <c r="L13" i="18"/>
  <c r="M13" i="18"/>
  <c r="N13" i="18"/>
  <c r="L12" i="18"/>
  <c r="M12" i="18"/>
  <c r="N12" i="18"/>
  <c r="L18" i="18"/>
  <c r="M18" i="18"/>
  <c r="N18" i="18"/>
  <c r="L7" i="18"/>
  <c r="M7" i="18"/>
  <c r="N7" i="18"/>
  <c r="L8" i="18"/>
  <c r="M8" i="18"/>
  <c r="N8" i="18"/>
  <c r="L6" i="18"/>
  <c r="M6" i="18"/>
  <c r="N6" i="18"/>
  <c r="L10" i="18"/>
  <c r="M10" i="18"/>
  <c r="N10" i="18"/>
  <c r="L11" i="18"/>
  <c r="M11" i="18"/>
  <c r="N11" i="18"/>
  <c r="L9" i="18"/>
  <c r="M9" i="18"/>
  <c r="N9" i="18"/>
  <c r="L5" i="18"/>
  <c r="M5" i="18"/>
  <c r="N5" i="18"/>
  <c r="K247" i="2"/>
  <c r="L247" i="2"/>
  <c r="M247" i="2"/>
  <c r="Y14" i="30"/>
  <c r="Y17" i="30"/>
  <c r="Y18" i="30"/>
  <c r="Y19" i="30"/>
  <c r="Y10" i="30"/>
  <c r="Y7" i="30"/>
  <c r="Y8" i="30"/>
  <c r="M1" i="30"/>
  <c r="P7" i="30"/>
  <c r="Q7" i="30"/>
  <c r="R7" i="30"/>
  <c r="P8" i="30"/>
  <c r="Q8" i="30"/>
  <c r="R8" i="30"/>
  <c r="P9" i="30"/>
  <c r="Q9" i="30"/>
  <c r="R9" i="30"/>
  <c r="P10" i="30"/>
  <c r="Q10" i="30"/>
  <c r="R10" i="30"/>
  <c r="P11" i="30"/>
  <c r="Q11" i="30"/>
  <c r="R11" i="30"/>
  <c r="P12" i="30"/>
  <c r="Q12" i="30"/>
  <c r="R12" i="30"/>
  <c r="P14" i="30"/>
  <c r="Q14" i="30"/>
  <c r="R14" i="30"/>
  <c r="P15" i="30"/>
  <c r="Q15" i="30"/>
  <c r="R15" i="30"/>
  <c r="P16" i="30"/>
  <c r="Q16" i="30"/>
  <c r="R16" i="30"/>
  <c r="P17" i="30"/>
  <c r="Q17" i="30"/>
  <c r="R17" i="30"/>
  <c r="P18" i="30"/>
  <c r="Q18" i="30"/>
  <c r="R18" i="30"/>
  <c r="P19" i="30"/>
  <c r="Q19" i="30"/>
  <c r="R19" i="30"/>
  <c r="AB19" i="30"/>
  <c r="AB18" i="30"/>
  <c r="AB17" i="30"/>
  <c r="AB16" i="30"/>
  <c r="AB15" i="30"/>
  <c r="AB14" i="30"/>
  <c r="AB13" i="30"/>
  <c r="AB12" i="30"/>
  <c r="AB11" i="30"/>
  <c r="AB10" i="30"/>
  <c r="AB9" i="30"/>
  <c r="AB8" i="30"/>
  <c r="AB7" i="30"/>
  <c r="S7" i="30"/>
  <c r="U7" i="30"/>
  <c r="AG7" i="30"/>
  <c r="X7" i="30"/>
  <c r="AC7" i="30"/>
  <c r="O8" i="30"/>
  <c r="U8" i="30"/>
  <c r="AG8" i="30"/>
  <c r="U11" i="30"/>
  <c r="AG11" i="30"/>
  <c r="Y11" i="30"/>
  <c r="X11" i="30"/>
  <c r="AC11" i="30"/>
  <c r="S12" i="30"/>
  <c r="U12" i="30"/>
  <c r="AG12" i="30"/>
  <c r="Y12" i="30"/>
  <c r="AI12" i="30"/>
  <c r="E13" i="30"/>
  <c r="X13" i="30"/>
  <c r="AC13" i="30"/>
  <c r="AG13" i="30"/>
  <c r="AI13" i="30"/>
  <c r="M16" i="30"/>
  <c r="U16" i="30"/>
  <c r="AG16" i="30"/>
  <c r="Y16" i="30"/>
  <c r="AI16" i="30"/>
  <c r="Y15" i="30"/>
  <c r="X15" i="30"/>
  <c r="U15" i="30"/>
  <c r="S15" i="30"/>
  <c r="T15" i="30"/>
  <c r="AI14" i="30"/>
  <c r="X14" i="30"/>
  <c r="AC14" i="30"/>
  <c r="U14" i="30"/>
  <c r="AG14" i="30"/>
  <c r="S14" i="30"/>
  <c r="AI19" i="30"/>
  <c r="X19" i="30"/>
  <c r="AC19" i="30"/>
  <c r="U19" i="30"/>
  <c r="AG19" i="30"/>
  <c r="AI18" i="30"/>
  <c r="X18" i="30"/>
  <c r="AC18" i="30"/>
  <c r="U18" i="30"/>
  <c r="AG18" i="30"/>
  <c r="U10" i="30"/>
  <c r="AG10" i="30"/>
  <c r="S10" i="30"/>
  <c r="Y9" i="30"/>
  <c r="X9" i="30"/>
  <c r="U9" i="30"/>
  <c r="AG9" i="30"/>
  <c r="S9" i="30"/>
  <c r="AF9" i="30"/>
  <c r="AI17" i="30"/>
  <c r="X17" i="30"/>
  <c r="AC17" i="30"/>
  <c r="U17" i="30"/>
  <c r="AG17" i="30"/>
  <c r="M2" i="30"/>
  <c r="R13" i="30"/>
  <c r="Q13" i="30"/>
  <c r="P13" i="30"/>
  <c r="AI7" i="30"/>
  <c r="S8" i="30"/>
  <c r="AF8" i="30"/>
  <c r="S16" i="30"/>
  <c r="AF16" i="30"/>
  <c r="AF7" i="30"/>
  <c r="T7" i="30"/>
  <c r="AI8" i="30"/>
  <c r="X8" i="30"/>
  <c r="AC8" i="30"/>
  <c r="V7" i="30"/>
  <c r="W7" i="30"/>
  <c r="Z7" i="30"/>
  <c r="AI11" i="30"/>
  <c r="S11" i="30"/>
  <c r="AF11" i="30"/>
  <c r="T12" i="30"/>
  <c r="AF12" i="30"/>
  <c r="V12" i="30"/>
  <c r="W12" i="30"/>
  <c r="X16" i="30"/>
  <c r="AC16" i="30"/>
  <c r="X12" i="30"/>
  <c r="AC12" i="30"/>
  <c r="AI15" i="30"/>
  <c r="S17" i="30"/>
  <c r="V17" i="30"/>
  <c r="V15" i="30"/>
  <c r="W15" i="30"/>
  <c r="Z15" i="30"/>
  <c r="S18" i="30"/>
  <c r="V18" i="30"/>
  <c r="W18" i="30"/>
  <c r="Z18" i="30"/>
  <c r="S19" i="30"/>
  <c r="T19" i="30"/>
  <c r="T10" i="30"/>
  <c r="AF10" i="30"/>
  <c r="V10" i="30"/>
  <c r="W10" i="30"/>
  <c r="AI10" i="30"/>
  <c r="T14" i="30"/>
  <c r="AF14" i="30"/>
  <c r="V14" i="30"/>
  <c r="W14" i="30"/>
  <c r="Z14" i="30"/>
  <c r="V9" i="30"/>
  <c r="T9" i="30"/>
  <c r="AI9" i="30"/>
  <c r="S13" i="30"/>
  <c r="T8" i="30"/>
  <c r="AD12" i="30"/>
  <c r="T16" i="30"/>
  <c r="V16" i="30"/>
  <c r="W16" i="30"/>
  <c r="Z16" i="30"/>
  <c r="V8" i="30"/>
  <c r="W8" i="30"/>
  <c r="Z8" i="30"/>
  <c r="AD7" i="30"/>
  <c r="T11" i="30"/>
  <c r="V11" i="30"/>
  <c r="Z12" i="30"/>
  <c r="T17" i="30"/>
  <c r="AF17" i="30"/>
  <c r="V19" i="30"/>
  <c r="W19" i="30"/>
  <c r="Z19" i="30"/>
  <c r="X10" i="30"/>
  <c r="AC10" i="30"/>
  <c r="T18" i="30"/>
  <c r="AF19" i="30"/>
  <c r="AF18" i="30"/>
  <c r="Z10" i="30"/>
  <c r="AD18" i="30"/>
  <c r="W9" i="30"/>
  <c r="Z9" i="30"/>
  <c r="AD14" i="30"/>
  <c r="W17" i="30"/>
  <c r="Z17" i="30"/>
  <c r="AD17" i="30"/>
  <c r="AD10" i="30"/>
  <c r="T13" i="30"/>
  <c r="AF13" i="30"/>
  <c r="V13" i="30"/>
  <c r="AD16" i="30"/>
  <c r="AC15" i="30"/>
  <c r="AF15" i="30"/>
  <c r="AG15" i="30"/>
  <c r="AG21" i="30"/>
  <c r="AD8" i="30"/>
  <c r="W11" i="30"/>
  <c r="Z11" i="30"/>
  <c r="AD11" i="30"/>
  <c r="AD19" i="30"/>
  <c r="AD15" i="30"/>
  <c r="AC21" i="30"/>
  <c r="AF21" i="30"/>
  <c r="AD13" i="30"/>
  <c r="AD21" i="30"/>
  <c r="Z13" i="30"/>
  <c r="W13" i="30"/>
  <c r="AD2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Critchley</author>
  </authors>
  <commentList>
    <comment ref="N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Full Load @ £1600 / 22 Pallets x 70 x 12
= £1.03 per case</t>
        </r>
      </text>
    </comment>
  </commentList>
</comments>
</file>

<file path=xl/sharedStrings.xml><?xml version="1.0" encoding="utf-8"?>
<sst xmlns="http://schemas.openxmlformats.org/spreadsheetml/2006/main" count="1465" uniqueCount="540">
  <si>
    <t>Italy</t>
  </si>
  <si>
    <t>France</t>
  </si>
  <si>
    <t>Spain</t>
  </si>
  <si>
    <t>Argentina</t>
  </si>
  <si>
    <t>Germany</t>
  </si>
  <si>
    <t>Australia</t>
  </si>
  <si>
    <t>South Africa</t>
  </si>
  <si>
    <t>£</t>
  </si>
  <si>
    <t>BASE COSTS</t>
  </si>
  <si>
    <t>LIST</t>
  </si>
  <si>
    <t>CODE</t>
  </si>
  <si>
    <t>COUNTRY</t>
  </si>
  <si>
    <t>REGION</t>
  </si>
  <si>
    <t>SUPPLIER</t>
  </si>
  <si>
    <t>DESCRIPTION</t>
  </si>
  <si>
    <t>$</t>
  </si>
  <si>
    <t>€</t>
  </si>
  <si>
    <t>RHD</t>
  </si>
  <si>
    <t>EWGA</t>
  </si>
  <si>
    <t>Loxarel</t>
  </si>
  <si>
    <t>Vallemayor</t>
  </si>
  <si>
    <t>Penedes</t>
  </si>
  <si>
    <t>Saniger Brut Reserva</t>
  </si>
  <si>
    <t>Rhine</t>
  </si>
  <si>
    <t>SHP</t>
  </si>
  <si>
    <t>BTL PER CASE</t>
  </si>
  <si>
    <t>DATE PRICE SET</t>
  </si>
  <si>
    <t>IB C/S</t>
  </si>
  <si>
    <t>IB BTL</t>
  </si>
  <si>
    <t>DUTY</t>
  </si>
  <si>
    <t>LIST PRICE CS</t>
  </si>
  <si>
    <t>LIST PRICE BTL</t>
  </si>
  <si>
    <t>NEW</t>
  </si>
  <si>
    <t>LTR PER CS</t>
  </si>
  <si>
    <t>Schmitt Sohne</t>
  </si>
  <si>
    <t>Budeguer</t>
  </si>
  <si>
    <t>Tucumen Cabernet Sauvignon</t>
  </si>
  <si>
    <t>COM</t>
  </si>
  <si>
    <t>Palacios Vinoteca</t>
  </si>
  <si>
    <t>Mendoza</t>
  </si>
  <si>
    <t>Piedmont</t>
  </si>
  <si>
    <t>Rias Baixas</t>
  </si>
  <si>
    <t>Rioja</t>
  </si>
  <si>
    <t>Western Cape</t>
  </si>
  <si>
    <t>Languedoc</t>
  </si>
  <si>
    <t>Not Your Grandma's Riesling</t>
  </si>
  <si>
    <t>Chaffey Bros</t>
  </si>
  <si>
    <t>Eden Valley</t>
  </si>
  <si>
    <t>Carinena</t>
  </si>
  <si>
    <t>Picpoul de Pinet</t>
  </si>
  <si>
    <t>North | South</t>
  </si>
  <si>
    <t>STATUS</t>
  </si>
  <si>
    <t>UK Supplier</t>
  </si>
  <si>
    <t>Imported</t>
  </si>
  <si>
    <t>MKT</t>
  </si>
  <si>
    <t xml:space="preserve">Global Roaming Pinot Noir </t>
  </si>
  <si>
    <t>PlanetBee Chenin Blanc</t>
  </si>
  <si>
    <t>La Fea Gran Reserva</t>
  </si>
  <si>
    <t>Gavi Poderi della Collinetta</t>
  </si>
  <si>
    <t>1730-1</t>
  </si>
  <si>
    <t>Roberto Sarotto</t>
  </si>
  <si>
    <t>Pazo do Mar</t>
  </si>
  <si>
    <t>Coral do Mar Albarino</t>
  </si>
  <si>
    <t>TYPE</t>
  </si>
  <si>
    <t>Red</t>
  </si>
  <si>
    <t>White</t>
  </si>
  <si>
    <t>Rose</t>
  </si>
  <si>
    <t>Sparkling</t>
  </si>
  <si>
    <t>COST £$€</t>
  </si>
  <si>
    <t>Nivarious Rioja Blanco</t>
  </si>
  <si>
    <t>Bees Knees 12 x 20cl Sparkling White</t>
  </si>
  <si>
    <t>TRF</t>
  </si>
  <si>
    <t>DP C/S</t>
  </si>
  <si>
    <t>DP BTL</t>
  </si>
  <si>
    <t>GP</t>
  </si>
  <si>
    <t>Paniza (VFV)</t>
  </si>
  <si>
    <t>Bijou Rose</t>
  </si>
  <si>
    <t>Crush Wines</t>
  </si>
  <si>
    <t>Stock / Weeks</t>
  </si>
  <si>
    <t>Duty/Weeks</t>
  </si>
  <si>
    <t>M&amp;B RPP</t>
  </si>
  <si>
    <t>£turnover</t>
  </si>
  <si>
    <t>NPD</t>
  </si>
  <si>
    <t>Confrerie-domaines</t>
  </si>
  <si>
    <t>Picpoul de Pinet 'Delicat'</t>
  </si>
  <si>
    <t>Tondeluna Tinto Joven +0.05 screwcap</t>
  </si>
  <si>
    <t>HL</t>
  </si>
  <si>
    <t>Volume CS</t>
  </si>
  <si>
    <t>GP £</t>
  </si>
  <si>
    <t>GP%</t>
  </si>
  <si>
    <t>List Price (Case)</t>
  </si>
  <si>
    <t>List Price (Bottle)</t>
  </si>
  <si>
    <t>UNITS</t>
  </si>
  <si>
    <t>Discount</t>
  </si>
  <si>
    <t xml:space="preserve"> Cost (Bottle)</t>
  </si>
  <si>
    <t>Duty</t>
  </si>
  <si>
    <t xml:space="preserve"> Cost (Case)</t>
  </si>
  <si>
    <t>Ex Duty</t>
  </si>
  <si>
    <t>ABV%</t>
  </si>
  <si>
    <t>ABV %</t>
  </si>
  <si>
    <t>TBC</t>
  </si>
  <si>
    <t>Ardeche</t>
  </si>
  <si>
    <t>Viognier 'Grès du Trias'</t>
  </si>
  <si>
    <t>Chardonnay 'Les Gravettes'</t>
  </si>
  <si>
    <t>Provence</t>
  </si>
  <si>
    <t>Nouvelle Vague Rose</t>
  </si>
  <si>
    <t>H&amp;B Cremand de Limoux Rose</t>
  </si>
  <si>
    <t>Coup de Savate Blanc</t>
  </si>
  <si>
    <t>Ribeira Sacla</t>
  </si>
  <si>
    <t>Matilda Nieves Mencía</t>
  </si>
  <si>
    <t>Burgundy</t>
  </si>
  <si>
    <t>Chablis 1er Cru 'Beauroy'</t>
  </si>
  <si>
    <t>Chablis 1er Cru 'Vaillons'</t>
  </si>
  <si>
    <t>Amaltea White</t>
  </si>
  <si>
    <t>2116-1</t>
  </si>
  <si>
    <t>H&amp;B 'Languedoc Rouge' Syrah | Grenache | Carignan</t>
  </si>
  <si>
    <t>St Veran 'Le Grande Bruyère' Luquet</t>
  </si>
  <si>
    <t>Macon Villages 'Clos de Condemine' Luquet</t>
  </si>
  <si>
    <t>1855A</t>
  </si>
  <si>
    <t>Champagne</t>
  </si>
  <si>
    <t>Tribaut Brut Cuvee Rene</t>
  </si>
  <si>
    <t>USA</t>
  </si>
  <si>
    <t>California</t>
  </si>
  <si>
    <t>1/4 Btl White Zinfandel Blush</t>
  </si>
  <si>
    <t>1/4 Btl Waters Edge Merlot</t>
  </si>
  <si>
    <t>1/4 Btl Waters Edge Chardonnay</t>
  </si>
  <si>
    <t>1/4 Btl Waters Edge Shiraz</t>
  </si>
  <si>
    <t>Chile</t>
  </si>
  <si>
    <t>Central Valley</t>
  </si>
  <si>
    <t xml:space="preserve">1/4btl Waters Edge Sauvignon Blanc </t>
  </si>
  <si>
    <t>3136-1</t>
  </si>
  <si>
    <t>Eos de Loxarel Syrah</t>
  </si>
  <si>
    <t>Reserva Familiar de Loxarel</t>
  </si>
  <si>
    <t>Chassagne Montrachet 'Chartron et Trebuchet'</t>
  </si>
  <si>
    <t>Aude</t>
  </si>
  <si>
    <t>Le Havre de Paix Cuvee Aude</t>
  </si>
  <si>
    <t>Cote de Gascogne</t>
  </si>
  <si>
    <t>Le Havre de Paix Côtes de Gascogne</t>
  </si>
  <si>
    <t>Hungary</t>
  </si>
  <si>
    <t>Kunság</t>
  </si>
  <si>
    <t>Little Cricket Gruner Veltliner</t>
  </si>
  <si>
    <t>Octerra Chardonnay | Viognier</t>
  </si>
  <si>
    <t>Sun Gate Chardonnay</t>
  </si>
  <si>
    <t>Loire</t>
  </si>
  <si>
    <t>Sauvignon 'O' Poitou</t>
  </si>
  <si>
    <t>Meursault 'Chartron &amp; Trebuchet'</t>
  </si>
  <si>
    <t>770 Miles Zinfandel</t>
  </si>
  <si>
    <t>Tribaut Le Millesemme Vintage 2013</t>
  </si>
  <si>
    <t>Yecla</t>
  </si>
  <si>
    <t>Barahonda Organic Barrica Monastrell Syrah</t>
  </si>
  <si>
    <t>Chablis 'La Pierelee'</t>
  </si>
  <si>
    <t>3137-1</t>
  </si>
  <si>
    <t>Ops de Loxarel</t>
  </si>
  <si>
    <t>Muscadet La Sablette</t>
  </si>
  <si>
    <t>Bordeaux</t>
  </si>
  <si>
    <t>Ch Clair Moulin Medoc</t>
  </si>
  <si>
    <t>3135-1</t>
  </si>
  <si>
    <t>Gaia de Loxarel Sauvignon Blanc</t>
  </si>
  <si>
    <t>H&amp;B Cotes de Provence Rose</t>
  </si>
  <si>
    <t>3134-1</t>
  </si>
  <si>
    <t>Cora de Loxarel</t>
  </si>
  <si>
    <t>Solas Albarino</t>
  </si>
  <si>
    <t>Petit Chablis 'Pas si Petit' Chablisienne</t>
  </si>
  <si>
    <t>Cotes du Rhone</t>
  </si>
  <si>
    <t>Chateau Domazan Cotes du Rhone</t>
  </si>
  <si>
    <t>Solas Viognier</t>
  </si>
  <si>
    <t>Solas Syrah</t>
  </si>
  <si>
    <t>Loxarel Cava Reserva Vintage 37.5cl</t>
  </si>
  <si>
    <t>Sweet</t>
  </si>
  <si>
    <t>Dulong Reserve Sauturnes 50cl</t>
  </si>
  <si>
    <t>W1529</t>
  </si>
  <si>
    <t>Ch d'Angles Rose</t>
  </si>
  <si>
    <t>JK11001-1</t>
  </si>
  <si>
    <t>Chablis Vieilles Vignes 'Les Venerables'</t>
  </si>
  <si>
    <t>Beaujolais</t>
  </si>
  <si>
    <t>Fleurie Domaine du Bois de L'Oise</t>
  </si>
  <si>
    <t>1504B</t>
  </si>
  <si>
    <t xml:space="preserve">Rudesheimer Rosengarten Riesling Spätlese </t>
  </si>
  <si>
    <t>3141-1</t>
  </si>
  <si>
    <t>Petit Arnau Rose</t>
  </si>
  <si>
    <t>Clos De La Grande Grange Bio (Organic) - Cotes Du Rhone</t>
  </si>
  <si>
    <t>999' de Loxarel Brut Rosat</t>
  </si>
  <si>
    <t>Barahonda Organic Verdejo Sauvignon</t>
  </si>
  <si>
    <t>Barahonda Monastrell Tinto</t>
  </si>
  <si>
    <t>Barahonda Organic Monastrell Rosado</t>
  </si>
  <si>
    <t>Alsace</t>
  </si>
  <si>
    <t xml:space="preserve">Pinot Gris A Metz 'Caveau' </t>
  </si>
  <si>
    <t>W3165</t>
  </si>
  <si>
    <t>Aussieres Rouge</t>
  </si>
  <si>
    <t>JK13009</t>
  </si>
  <si>
    <t>Sancerre 'Dom des Trois Noyers'</t>
  </si>
  <si>
    <t>W3503</t>
  </si>
  <si>
    <t>Love by Loeube</t>
  </si>
  <si>
    <t>Veneto</t>
  </si>
  <si>
    <t>Arcale Terre Siciliane</t>
  </si>
  <si>
    <t>W3103</t>
  </si>
  <si>
    <t>Agneau Rouge</t>
  </si>
  <si>
    <t>Nero d'Avola Torre Saracena</t>
  </si>
  <si>
    <t>W1140</t>
  </si>
  <si>
    <t>Ch. Peyre Lebade Haut-Medoc</t>
  </si>
  <si>
    <t>Nouvelle Vague Red “Take Off”</t>
  </si>
  <si>
    <t>Pere et Fils Chardonnay</t>
  </si>
  <si>
    <t>Pere et Fils Merlot</t>
  </si>
  <si>
    <t>Pere et Fils Cinsault Rose</t>
  </si>
  <si>
    <t>Pere et Fils Sauvignon Blanc</t>
  </si>
  <si>
    <t>'Bio' Organic Chianti</t>
  </si>
  <si>
    <t>W0163</t>
  </si>
  <si>
    <t>Rothschild Cabernet Sauvignon Pays d'Oc</t>
  </si>
  <si>
    <t>Riesling A Metz 'Caveau'</t>
  </si>
  <si>
    <t>Getaria</t>
  </si>
  <si>
    <t>Txakoli Rose Agerre</t>
  </si>
  <si>
    <t>Minervois</t>
  </si>
  <si>
    <t>Chateau Roquecourbe Minervois</t>
  </si>
  <si>
    <t>3529-1</t>
  </si>
  <si>
    <t>Tierra de Castilla</t>
  </si>
  <si>
    <t>Quinta de Aves Syrah</t>
  </si>
  <si>
    <t>'Bio' Organic Primitivo</t>
  </si>
  <si>
    <t>JK14013</t>
  </si>
  <si>
    <t>Cabernet Gris Rose 'Les Classique'</t>
  </si>
  <si>
    <t>St Emilion G.Cru Viuex Ch des Combes</t>
  </si>
  <si>
    <t>Piesporter Michelsberg</t>
  </si>
  <si>
    <t xml:space="preserve">Gewurztraminer A Metz 'Caveau' </t>
  </si>
  <si>
    <t>2660-1</t>
  </si>
  <si>
    <t xml:space="preserve">Ch Anniche Blanc </t>
  </si>
  <si>
    <t>St.Emilion Ch La Pointe-Bouquey</t>
  </si>
  <si>
    <t>JK13021</t>
  </si>
  <si>
    <t>Pouilly Fume 'Coteau des Girarmes'</t>
  </si>
  <si>
    <t>La Fea Cava</t>
  </si>
  <si>
    <t>Txakoli Agerre</t>
  </si>
  <si>
    <t>Ribera del Duero</t>
  </si>
  <si>
    <t>Martin Berdugo Joven</t>
  </si>
  <si>
    <t>Martin Berdugo Rosado</t>
  </si>
  <si>
    <t>'Bio' Organic Grillo</t>
  </si>
  <si>
    <t>2117-1</t>
  </si>
  <si>
    <t>H&amp;B Minervois</t>
  </si>
  <si>
    <t>Sancerre Rose 'Dom des Trois Noyers'</t>
  </si>
  <si>
    <t>1852B</t>
  </si>
  <si>
    <t>Tribaut Rose Brut NV</t>
  </si>
  <si>
    <t>South Australia</t>
  </si>
  <si>
    <t>Byrne Estate 'Woolpunda' Chardonnay</t>
  </si>
  <si>
    <t>Byrne Estate 'Woolpunda' Shiraz</t>
  </si>
  <si>
    <t>Byrne Estate 'Woolpunda' Cabernet Sauvignon</t>
  </si>
  <si>
    <t>Vino de Espana</t>
  </si>
  <si>
    <t>Aromar Macabeo</t>
  </si>
  <si>
    <t>Aromar Tempranillo | Garnacha</t>
  </si>
  <si>
    <t>3174-1</t>
  </si>
  <si>
    <t>Martin Berdugo Crianza</t>
  </si>
  <si>
    <t>W0945</t>
  </si>
  <si>
    <t>Aruma Malbec</t>
  </si>
  <si>
    <t>Solas Reserve Rose</t>
  </si>
  <si>
    <t>Monterrei</t>
  </si>
  <si>
    <t>Ondas del Alma Godello</t>
  </si>
  <si>
    <t>San Juan</t>
  </si>
  <si>
    <t>Incienso Malbec</t>
  </si>
  <si>
    <t>Campania</t>
  </si>
  <si>
    <t>Aglianico del Sannio</t>
  </si>
  <si>
    <t>Falanghina del Sannio 'Taburno'</t>
  </si>
  <si>
    <t>Prosecco 'Campo del Passo'</t>
  </si>
  <si>
    <t>3219-1</t>
  </si>
  <si>
    <t>Valpolicella Classico I Gadi</t>
  </si>
  <si>
    <t>'Bio' Organic Prosecco</t>
  </si>
  <si>
    <t>Tribaut Brut Magnum</t>
  </si>
  <si>
    <t>3209-1</t>
  </si>
  <si>
    <t>Merlot del Veneto 'Rocca Bastia'</t>
  </si>
  <si>
    <t>Paranormal Rioja Tempranillo Blanco</t>
  </si>
  <si>
    <t>Tribaut Brut NV 187ml</t>
  </si>
  <si>
    <t>Pinot Noir 'Buis d'Aps</t>
  </si>
  <si>
    <t>Jumilla</t>
  </si>
  <si>
    <t>Goru Tinto Monastrell | Syrah | Petit Verdot</t>
  </si>
  <si>
    <t>Tribaut Brut NV</t>
  </si>
  <si>
    <t>1851B</t>
  </si>
  <si>
    <t>Back Label Tribaut Brut NV</t>
  </si>
  <si>
    <t>Tribaut Le Chardonnay Blanc de Chard</t>
  </si>
  <si>
    <t>Prosecco Rose 'Campo del Passo'</t>
  </si>
  <si>
    <t>W0081</t>
  </si>
  <si>
    <t>Legende Bordeaux Blanc</t>
  </si>
  <si>
    <t>Tribaut Brut Jeroboam</t>
  </si>
  <si>
    <t>Tondeluna Tinto Joven</t>
  </si>
  <si>
    <t>Soave Classico Libet 'Soraighe'</t>
  </si>
  <si>
    <t>Pouilly Fuisse 'Cuvee Terroir' Luquet</t>
  </si>
  <si>
    <t>Veiga da Princesa Albarino</t>
  </si>
  <si>
    <t>Tribaut Blanc de Noirs Brut</t>
  </si>
  <si>
    <t>Ch Haut Roquefort</t>
  </si>
  <si>
    <t>H&amp;B 'Languedoc Blanc' Picpoul | Roussane</t>
  </si>
  <si>
    <t>Prosecco 'Gemin' 20cl</t>
  </si>
  <si>
    <t>Prosecco 'Campo del Passo' 20cl</t>
  </si>
  <si>
    <t>1843-1</t>
  </si>
  <si>
    <t>Back Label Prosecco 'Campo del Passo' 20cl</t>
  </si>
  <si>
    <t>New Zealand</t>
  </si>
  <si>
    <t>Hawkes Bay</t>
  </si>
  <si>
    <t>Taumata Sauvignon Blanc</t>
  </si>
  <si>
    <t>Tucumen Sparkling</t>
  </si>
  <si>
    <t>1837M</t>
  </si>
  <si>
    <t>Prosecco 'Campo del Passo' DOC Magnum</t>
  </si>
  <si>
    <t>Paranormal Rioja Tempranillo</t>
  </si>
  <si>
    <t>Picpoul de Pinet 'La Sauterelle'</t>
  </si>
  <si>
    <t>Water Stop Chardonnay</t>
  </si>
  <si>
    <t>Afrikan Ridge Pinotage</t>
  </si>
  <si>
    <t>Costa Cruz Verdejo | Sauvignon</t>
  </si>
  <si>
    <t>Costa Cruz Tempranillo | Syrah</t>
  </si>
  <si>
    <t>Costa Cruz Tempranillo | Garnacha Rose</t>
  </si>
  <si>
    <t>De Linieres Champagne</t>
  </si>
  <si>
    <t>1859-1</t>
  </si>
  <si>
    <t>Back Label De Linieres NV</t>
  </si>
  <si>
    <t>2075-0</t>
  </si>
  <si>
    <t>Les Terrasses White</t>
  </si>
  <si>
    <t>2076-0</t>
  </si>
  <si>
    <t>Les Terrasses Red</t>
  </si>
  <si>
    <t>2077-0</t>
  </si>
  <si>
    <t>Les Terrasses Rose</t>
  </si>
  <si>
    <t>3217-1</t>
  </si>
  <si>
    <t>Bardolino Classico 'Corte Pitora'</t>
  </si>
  <si>
    <t>2670-1</t>
  </si>
  <si>
    <t>Ch Anniche 1er Cote de Bordeaux</t>
  </si>
  <si>
    <t>Tapiz Malbec</t>
  </si>
  <si>
    <t>Portugal</t>
  </si>
  <si>
    <t>Lisbon</t>
  </si>
  <si>
    <t>Azulejo Lisboa Red</t>
  </si>
  <si>
    <t>Tondeluna Crianza</t>
  </si>
  <si>
    <t>Casablanca</t>
  </si>
  <si>
    <t>Cantus Reserve Pinot Noir</t>
  </si>
  <si>
    <t>Maipo</t>
  </si>
  <si>
    <t>Cantus Reserve Carmenere</t>
  </si>
  <si>
    <t>Rueda</t>
  </si>
  <si>
    <t>Vega del Pas Verdejo</t>
  </si>
  <si>
    <t>Marionette Monastrell | Syrah</t>
  </si>
  <si>
    <t>Goru Blanco Chardonnay | Moscatel</t>
  </si>
  <si>
    <t>3202-1</t>
  </si>
  <si>
    <t>Chardonnay del Veneto 'Rocca Bastia'</t>
  </si>
  <si>
    <t>3203-1</t>
  </si>
  <si>
    <t>Barbera Piemonte 'Cornale'</t>
  </si>
  <si>
    <t>Chassagne Montrachet 1er Cru 'Les Embazees'</t>
  </si>
  <si>
    <t>2663H-2</t>
  </si>
  <si>
    <t>Ch Haut Roquefort 37.5cl</t>
  </si>
  <si>
    <t>Prosecco Frizzante 'Campo del Passo'</t>
  </si>
  <si>
    <t>Tramuz Joven</t>
  </si>
  <si>
    <t>3152B</t>
  </si>
  <si>
    <t>Vallemayor Crianza</t>
  </si>
  <si>
    <t>3205-1</t>
  </si>
  <si>
    <t>Marche</t>
  </si>
  <si>
    <t>Montepulciano d'Abruzzo 'Ca Brigiano'</t>
  </si>
  <si>
    <t>Vallemayor Rosado Joven</t>
  </si>
  <si>
    <t>3150B</t>
  </si>
  <si>
    <t>Vallemayor Blanco Joven</t>
  </si>
  <si>
    <t>3151B</t>
  </si>
  <si>
    <t>Vallemayor Tinto Joven</t>
  </si>
  <si>
    <t>Ribeiro</t>
  </si>
  <si>
    <t>Nereida</t>
  </si>
  <si>
    <t>Castelo de Medina Verdejo</t>
  </si>
  <si>
    <t>Labastide de Dauzac Margaux</t>
  </si>
  <si>
    <t>3213-1</t>
  </si>
  <si>
    <t>Pinot Grigio Corte Pitora</t>
  </si>
  <si>
    <t>Amarone della Valpolicella 'Elite'</t>
  </si>
  <si>
    <t>Castelo de Medina Sauvignon Blanc</t>
  </si>
  <si>
    <t>3210-1</t>
  </si>
  <si>
    <t>Pinot Grigio I Gadi</t>
  </si>
  <si>
    <t>Tucumen Malbec</t>
  </si>
  <si>
    <t>3218-1</t>
  </si>
  <si>
    <t>Bardolino Rose 'La Quercia'</t>
  </si>
  <si>
    <t>Scribble Verdelho</t>
  </si>
  <si>
    <t>Dornfelder Lieblich</t>
  </si>
  <si>
    <t>Cantus Sauvignon Blanc</t>
  </si>
  <si>
    <t>Cantus Chardonnay</t>
  </si>
  <si>
    <t>Cantus Merlot</t>
  </si>
  <si>
    <t>Cantus Cabernet Sauvignon</t>
  </si>
  <si>
    <t>Cantus Cabernet Rose</t>
  </si>
  <si>
    <t>Goru 38 Barrels</t>
  </si>
  <si>
    <t>3152M</t>
  </si>
  <si>
    <t>Vallemayor Crianza MAGNUM</t>
  </si>
  <si>
    <t>Blaufrankisch Ausbruch</t>
  </si>
  <si>
    <t xml:space="preserve">San Juan de la Frontera Malbec </t>
  </si>
  <si>
    <t>Ama Vida Albarino</t>
  </si>
  <si>
    <t>Ondas del Alma Mencia</t>
  </si>
  <si>
    <t>La Fea Viura | Chardonnay</t>
  </si>
  <si>
    <t>La Fea Tempranillo | Syrah | Garncaha</t>
  </si>
  <si>
    <t>African Ridge Merlot</t>
  </si>
  <si>
    <t>Pinot Grigio Serarossa</t>
  </si>
  <si>
    <t>Pinot Grigio Rose Serarossa</t>
  </si>
  <si>
    <t>2801-1</t>
  </si>
  <si>
    <t>African Ridge Chenin Blanc</t>
  </si>
  <si>
    <t>2802-1</t>
  </si>
  <si>
    <t>African Ridge Sauvignon Blanc</t>
  </si>
  <si>
    <t>Dolcetto d'Alba</t>
  </si>
  <si>
    <t>Global Roaming Riesling</t>
  </si>
  <si>
    <t>3153-1</t>
  </si>
  <si>
    <t>Vallemayor Reserva</t>
  </si>
  <si>
    <t>Tucumen Reserve Malbec</t>
  </si>
  <si>
    <t>2858-1</t>
  </si>
  <si>
    <t>Marlborough</t>
  </si>
  <si>
    <t>Supper Club Sauvignon Blanc</t>
  </si>
  <si>
    <t>3364H</t>
  </si>
  <si>
    <t>Essencia Orange Muscat 37.5ml</t>
  </si>
  <si>
    <t>3365H</t>
  </si>
  <si>
    <t>Elysium Black Muscat 37.5ml</t>
  </si>
  <si>
    <t>Patagonia</t>
  </si>
  <si>
    <t>Comahue Pinot Noir</t>
  </si>
  <si>
    <t>Water Stop Shiraz</t>
  </si>
  <si>
    <t>Waters Edge White Zinfandel</t>
  </si>
  <si>
    <t>Vallemayor Oak Aged Blanco</t>
  </si>
  <si>
    <t>La Fea Reserva</t>
  </si>
  <si>
    <t>Valencia</t>
  </si>
  <si>
    <t>Sympathy For The Devil Verdejo Sauvignon</t>
  </si>
  <si>
    <t>Highway To Hell Monastrell</t>
  </si>
  <si>
    <t xml:space="preserve">Nivarious Tempranillo Blanco </t>
  </si>
  <si>
    <t xml:space="preserve">Nivarious Maturano Blanco </t>
  </si>
  <si>
    <t>Back Label Prosecco 'Campo del Passo'</t>
  </si>
  <si>
    <t>Riverland</t>
  </si>
  <si>
    <t>Sidney Wilcox White Field Blend</t>
  </si>
  <si>
    <t>Sidney Wilcox Old Vine Zibibbo</t>
  </si>
  <si>
    <t>Sidney Wilcox Pinot Noir</t>
  </si>
  <si>
    <t>Valpolicella Ripasso 'Soraighe'</t>
  </si>
  <si>
    <t>Cahors</t>
  </si>
  <si>
    <t>Cahors Clos la Coutale 'Malbec'</t>
  </si>
  <si>
    <t>Trus Roble</t>
  </si>
  <si>
    <t>Light My Fire Garnacha</t>
  </si>
  <si>
    <t>Born To Be Wild Bobal</t>
  </si>
  <si>
    <t>Penny Lane Pinot Noir</t>
  </si>
  <si>
    <t>Barolo DOCG Poderi della Collinetta</t>
  </si>
  <si>
    <t>Prosecco 'Gemin' DOCG</t>
  </si>
  <si>
    <t>Penny Lane Sauvignon Blanc</t>
  </si>
  <si>
    <t>Ronan by Clinet 'Merlot'</t>
  </si>
  <si>
    <t>Vallemayor Vina Ceradilla</t>
  </si>
  <si>
    <t>3155-1</t>
  </si>
  <si>
    <t>Vallemayor Gran Reserva</t>
  </si>
  <si>
    <t>3152H</t>
  </si>
  <si>
    <t>Vallemayor Crianza 1/2 Bottle</t>
  </si>
  <si>
    <t>Clare Valley</t>
  </si>
  <si>
    <t>Calcannia Clare Valley Shiraz</t>
  </si>
  <si>
    <t>Calcannia Clare Valley GSM</t>
  </si>
  <si>
    <t>Amarone della Valpolicella 'Cerasum'</t>
  </si>
  <si>
    <t xml:space="preserve">Puissguin-St. Emilion Ch. des Laurents, </t>
  </si>
  <si>
    <t>3152MC</t>
  </si>
  <si>
    <t>Vallemayor Ceradilla Crianza MAGNUM</t>
  </si>
  <si>
    <t>Somewhere Else Malbec</t>
  </si>
  <si>
    <t>Somewhere Else Torrontes / Pedro Gimenez</t>
  </si>
  <si>
    <t>Somewhere Else Cabernet Franc</t>
  </si>
  <si>
    <t>Somewhere Else Petit Verdot</t>
  </si>
  <si>
    <t>1322-1</t>
  </si>
  <si>
    <t>Koninig Victoriaberg Riesling</t>
  </si>
  <si>
    <t>Fleurie Le Pigeonnier</t>
  </si>
  <si>
    <t>EXC3549</t>
  </si>
  <si>
    <t>El Gordo Syrah</t>
  </si>
  <si>
    <t>EXC3550</t>
  </si>
  <si>
    <t>Primi Rioja Joven</t>
  </si>
  <si>
    <t>Natural</t>
  </si>
  <si>
    <t>A Pèl de Loxarel Garnatxa Negra *Natural</t>
  </si>
  <si>
    <t>A Pèl de Loxarel Xarel.lo *Natural</t>
  </si>
  <si>
    <t>1101-5</t>
  </si>
  <si>
    <t>Gluhwein</t>
  </si>
  <si>
    <t>n/a</t>
  </si>
  <si>
    <t>Schneeflockchen 10 Ltr</t>
  </si>
  <si>
    <t>1104-3</t>
  </si>
  <si>
    <t>Christern 10 Ltr</t>
  </si>
  <si>
    <t>1104-7</t>
  </si>
  <si>
    <t>Christern 1 Ltr</t>
  </si>
  <si>
    <t>Port</t>
  </si>
  <si>
    <t>Kopke 1996 Vintage Port</t>
  </si>
  <si>
    <t>2990-1</t>
  </si>
  <si>
    <t>Kopke 10 Year Old</t>
  </si>
  <si>
    <t>2992-1</t>
  </si>
  <si>
    <t>Kopke LBV</t>
  </si>
  <si>
    <t>Kopke Tawny</t>
  </si>
  <si>
    <t>Kopke Ruby</t>
  </si>
  <si>
    <t>Kopke Colheita</t>
  </si>
  <si>
    <t>Kopke Fine White Sweet Port</t>
  </si>
  <si>
    <t>Kopke Dry White Port</t>
  </si>
  <si>
    <t>3371-1</t>
  </si>
  <si>
    <t>Sherry</t>
  </si>
  <si>
    <t>Jerez</t>
  </si>
  <si>
    <t>Micaela Amontillado</t>
  </si>
  <si>
    <t>3372-1</t>
  </si>
  <si>
    <t>Micaela Cream</t>
  </si>
  <si>
    <t>3370-1</t>
  </si>
  <si>
    <t>Micaela Fino</t>
  </si>
  <si>
    <t>3373-1</t>
  </si>
  <si>
    <t>Micaela Oloroso</t>
  </si>
  <si>
    <t>3375H</t>
  </si>
  <si>
    <t>Micaela PX 37.5cl</t>
  </si>
  <si>
    <t>3375-1</t>
  </si>
  <si>
    <t>Micaela PX</t>
  </si>
  <si>
    <t>Soluqua PX</t>
  </si>
  <si>
    <t xml:space="preserve">Xixarito Amontillado </t>
  </si>
  <si>
    <t>Xixarito Oloroso</t>
  </si>
  <si>
    <t>Xixarito PX</t>
  </si>
  <si>
    <t>3374H</t>
  </si>
  <si>
    <t>Sanlucar</t>
  </si>
  <si>
    <t>Micaela Manzanilla 37.5cl</t>
  </si>
  <si>
    <t>3374-1</t>
  </si>
  <si>
    <t>Micaela Manzanilla</t>
  </si>
  <si>
    <t>Soluqua Manzanilla</t>
  </si>
  <si>
    <t>3384H</t>
  </si>
  <si>
    <t>Xixarito Manzanilla 37.5cl</t>
  </si>
  <si>
    <t>Xixarito Manzanilla</t>
  </si>
  <si>
    <t>Uva 44 Manzanilla</t>
  </si>
  <si>
    <t>Vermouth</t>
  </si>
  <si>
    <t>Leon</t>
  </si>
  <si>
    <t>Forzudo Vermut 1ltr</t>
  </si>
  <si>
    <t>Tarragona</t>
  </si>
  <si>
    <t>Padro &amp; Co. Roja Clasico</t>
  </si>
  <si>
    <t>Gin</t>
  </si>
  <si>
    <t>Port Vell Gin</t>
  </si>
  <si>
    <t>Sorel London Dry Gin</t>
  </si>
  <si>
    <t>Level Gin</t>
  </si>
  <si>
    <t>Carnation Gin</t>
  </si>
  <si>
    <t>Gin Volcànic</t>
  </si>
  <si>
    <t>Macronesian White Gin</t>
  </si>
  <si>
    <t>2929-1</t>
  </si>
  <si>
    <t>Macronesian 'Eternal Spring' Pink Gin</t>
  </si>
  <si>
    <t>5th 'Fire' Gin</t>
  </si>
  <si>
    <t>2951A</t>
  </si>
  <si>
    <t>Brandy</t>
  </si>
  <si>
    <t>Ponche Cabellero</t>
  </si>
  <si>
    <t>Pacharan Zoco 1l</t>
  </si>
  <si>
    <t>Magno Osborne Reserva</t>
  </si>
  <si>
    <t>2934-1</t>
  </si>
  <si>
    <t>Liqueur</t>
  </si>
  <si>
    <t>Salas Peach</t>
  </si>
  <si>
    <t>2935-1</t>
  </si>
  <si>
    <t>Salas Hazelnut</t>
  </si>
  <si>
    <t>2936-1</t>
  </si>
  <si>
    <t>Salas Apple</t>
  </si>
  <si>
    <t>Anis del Mono Dulce 1l</t>
  </si>
  <si>
    <t>2942-1</t>
  </si>
  <si>
    <t>Veterano Brandy 1l</t>
  </si>
  <si>
    <t>Crema Catalan</t>
  </si>
  <si>
    <t>2944-1</t>
  </si>
  <si>
    <t>103 Brandy</t>
  </si>
  <si>
    <t>Soberano</t>
  </si>
  <si>
    <t>Torres 10yo Solera</t>
  </si>
  <si>
    <t>2947-2</t>
  </si>
  <si>
    <t>Carlos 1 Gran Res</t>
  </si>
  <si>
    <t>2947-3</t>
  </si>
  <si>
    <t>Carlos 1 GRAN RES IMPERIAL XO</t>
  </si>
  <si>
    <t>Licor '43</t>
  </si>
  <si>
    <t>UK</t>
  </si>
  <si>
    <t>Gin 12 x 70cl Unlabelled</t>
  </si>
  <si>
    <t>Whisky</t>
  </si>
  <si>
    <t>Blended Malt 12 x 70cl Unlabelled</t>
  </si>
  <si>
    <t>Vodka</t>
  </si>
  <si>
    <t>Vodka 12 x 70cl Unlabelled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</si>
</sst>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;@"/>
    <numFmt numFmtId="165" formatCode="m/d/yyyy"/>
    <numFmt numFmtId="166" formatCode="0.000"/>
    <numFmt numFmtId="167" formatCode="0.0%"/>
    <numFmt numFmtId="168" formatCode="_([$€-2]\ * #,##0.00_);_([$€-2]\ * \(#,##0.00\);_([$€-2]\ * &quot;-&quot;??_);_(@_)"/>
    <numFmt numFmtId="169" formatCode="_ &quot;R&quot;\ * #,##0.00_ ;_ &quot;R&quot;\ * \-#,##0.00_ ;_ &quot;R&quot;\ * &quot;-&quot;??_ ;_ @_ "/>
    <numFmt numFmtId="170" formatCode="_-[$£-809]* #,##0.00_-;\-[$£-809]* #,##0.00_-;_-[$£-809]* &quot;-&quot;??_-;_-@_-"/>
    <numFmt numFmtId="171" formatCode="&quot;£&quot;#,##0.00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9"/>
      <color indexed="8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30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43" fontId="18" fillId="0" borderId="0" applyFont="0" applyFill="0" applyBorder="0" applyAlignment="0" applyProtection="0"/>
    <xf numFmtId="0" fontId="18" fillId="17" borderId="4" applyNumberFormat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0"/>
    <xf numFmtId="0" fontId="18" fillId="0" borderId="0"/>
    <xf numFmtId="0" fontId="9" fillId="4" borderId="0" applyNumberFormat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5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9" borderId="3" applyNumberFormat="0" applyAlignment="0" applyProtection="0"/>
    <xf numFmtId="9" fontId="18" fillId="0" borderId="0" applyFont="0" applyFill="0" applyBorder="0" applyAlignment="0" applyProtection="0"/>
  </cellStyleXfs>
  <cellXfs count="179">
    <xf numFmtId="0" fontId="0" fillId="0" borderId="0" xfId="0"/>
    <xf numFmtId="0" fontId="22" fillId="0" borderId="0" xfId="0" applyFont="1"/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/>
    <xf numFmtId="165" fontId="23" fillId="0" borderId="9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19" fillId="22" borderId="0" xfId="0" applyNumberFormat="1" applyFont="1" applyFill="1"/>
    <xf numFmtId="0" fontId="21" fillId="0" borderId="0" xfId="0" applyFont="1"/>
    <xf numFmtId="2" fontId="19" fillId="0" borderId="9" xfId="0" applyNumberFormat="1" applyFont="1" applyBorder="1"/>
    <xf numFmtId="2" fontId="19" fillId="0" borderId="11" xfId="0" applyNumberFormat="1" applyFont="1" applyBorder="1"/>
    <xf numFmtId="2" fontId="19" fillId="0" borderId="12" xfId="0" applyNumberFormat="1" applyFont="1" applyBorder="1"/>
    <xf numFmtId="167" fontId="19" fillId="22" borderId="11" xfId="0" applyNumberFormat="1" applyFont="1" applyFill="1" applyBorder="1" applyProtection="1">
      <protection locked="0"/>
    </xf>
    <xf numFmtId="2" fontId="19" fillId="0" borderId="10" xfId="0" applyNumberFormat="1" applyFont="1" applyBorder="1"/>
    <xf numFmtId="2" fontId="22" fillId="22" borderId="11" xfId="0" applyNumberFormat="1" applyFont="1" applyFill="1" applyBorder="1"/>
    <xf numFmtId="2" fontId="22" fillId="0" borderId="12" xfId="0" applyNumberFormat="1" applyFont="1" applyBorder="1"/>
    <xf numFmtId="167" fontId="19" fillId="22" borderId="9" xfId="0" applyNumberFormat="1" applyFont="1" applyFill="1" applyBorder="1" applyProtection="1">
      <protection locked="0"/>
    </xf>
    <xf numFmtId="2" fontId="19" fillId="0" borderId="13" xfId="0" applyNumberFormat="1" applyFont="1" applyBorder="1"/>
    <xf numFmtId="168" fontId="22" fillId="0" borderId="0" xfId="0" applyNumberFormat="1" applyFont="1"/>
    <xf numFmtId="166" fontId="22" fillId="0" borderId="0" xfId="0" applyNumberFormat="1" applyFont="1"/>
    <xf numFmtId="2" fontId="24" fillId="0" borderId="0" xfId="0" applyNumberFormat="1" applyFont="1"/>
    <xf numFmtId="2" fontId="25" fillId="0" borderId="0" xfId="0" applyNumberFormat="1" applyFont="1"/>
    <xf numFmtId="0" fontId="19" fillId="0" borderId="9" xfId="0" applyFont="1" applyBorder="1" applyAlignment="1" applyProtection="1">
      <alignment horizontal="left" vertical="center"/>
      <protection locked="0"/>
    </xf>
    <xf numFmtId="2" fontId="22" fillId="0" borderId="9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2" fontId="22" fillId="21" borderId="9" xfId="0" applyNumberFormat="1" applyFont="1" applyFill="1" applyBorder="1" applyProtection="1">
      <protection locked="0"/>
    </xf>
    <xf numFmtId="2" fontId="19" fillId="20" borderId="17" xfId="0" applyNumberFormat="1" applyFont="1" applyFill="1" applyBorder="1"/>
    <xf numFmtId="2" fontId="22" fillId="23" borderId="17" xfId="0" applyNumberFormat="1" applyFont="1" applyFill="1" applyBorder="1"/>
    <xf numFmtId="2" fontId="19" fillId="8" borderId="10" xfId="0" applyNumberFormat="1" applyFont="1" applyFill="1" applyBorder="1"/>
    <xf numFmtId="2" fontId="22" fillId="20" borderId="10" xfId="0" applyNumberFormat="1" applyFont="1" applyFill="1" applyBorder="1"/>
    <xf numFmtId="2" fontId="19" fillId="8" borderId="11" xfId="0" applyNumberFormat="1" applyFont="1" applyFill="1" applyBorder="1"/>
    <xf numFmtId="2" fontId="23" fillId="24" borderId="18" xfId="0" applyNumberFormat="1" applyFont="1" applyFill="1" applyBorder="1" applyProtection="1">
      <protection locked="0"/>
    </xf>
    <xf numFmtId="166" fontId="19" fillId="25" borderId="11" xfId="0" applyNumberFormat="1" applyFont="1" applyFill="1" applyBorder="1"/>
    <xf numFmtId="166" fontId="19" fillId="25" borderId="10" xfId="0" applyNumberFormat="1" applyFont="1" applyFill="1" applyBorder="1"/>
    <xf numFmtId="166" fontId="19" fillId="26" borderId="11" xfId="0" applyNumberFormat="1" applyFont="1" applyFill="1" applyBorder="1"/>
    <xf numFmtId="2" fontId="21" fillId="0" borderId="0" xfId="0" applyNumberFormat="1" applyFont="1" applyAlignment="1" applyProtection="1">
      <alignment horizontal="right"/>
      <protection locked="0"/>
    </xf>
    <xf numFmtId="0" fontId="23" fillId="21" borderId="17" xfId="0" applyFont="1" applyFill="1" applyBorder="1" applyAlignment="1" applyProtection="1">
      <alignment horizontal="center"/>
      <protection locked="0"/>
    </xf>
    <xf numFmtId="0" fontId="21" fillId="21" borderId="17" xfId="0" applyFont="1" applyFill="1" applyBorder="1" applyAlignment="1" applyProtection="1">
      <alignment horizontal="center"/>
      <protection locked="0"/>
    </xf>
    <xf numFmtId="0" fontId="23" fillId="21" borderId="11" xfId="0" applyFont="1" applyFill="1" applyBorder="1" applyAlignment="1" applyProtection="1">
      <alignment horizontal="center"/>
      <protection locked="0"/>
    </xf>
    <xf numFmtId="0" fontId="21" fillId="21" borderId="17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19" fillId="21" borderId="10" xfId="0" applyNumberFormat="1" applyFont="1" applyFill="1" applyBorder="1" applyAlignment="1">
      <alignment horizontal="center"/>
    </xf>
    <xf numFmtId="0" fontId="19" fillId="22" borderId="11" xfId="0" applyFont="1" applyFill="1" applyBorder="1" applyAlignment="1" applyProtection="1">
      <alignment horizontal="center"/>
      <protection locked="0"/>
    </xf>
    <xf numFmtId="0" fontId="19" fillId="22" borderId="13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21" borderId="13" xfId="0" applyFont="1" applyFill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19" fillId="22" borderId="9" xfId="0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19" fillId="21" borderId="17" xfId="0" applyFont="1" applyFill="1" applyBorder="1" applyAlignment="1" applyProtection="1">
      <alignment horizontal="center"/>
      <protection locked="0"/>
    </xf>
    <xf numFmtId="0" fontId="22" fillId="21" borderId="17" xfId="0" applyFont="1" applyFill="1" applyBorder="1" applyAlignment="1">
      <alignment horizontal="center"/>
    </xf>
    <xf numFmtId="0" fontId="19" fillId="22" borderId="11" xfId="0" applyFont="1" applyFill="1" applyBorder="1" applyAlignment="1" applyProtection="1">
      <alignment horizontal="left" indent="1"/>
      <protection locked="0"/>
    </xf>
    <xf numFmtId="0" fontId="19" fillId="0" borderId="11" xfId="0" applyFont="1" applyBorder="1" applyAlignment="1" applyProtection="1">
      <alignment horizontal="left" indent="1"/>
      <protection locked="0"/>
    </xf>
    <xf numFmtId="165" fontId="22" fillId="0" borderId="11" xfId="0" applyNumberFormat="1" applyFont="1" applyBorder="1" applyAlignment="1">
      <alignment horizontal="left" indent="1"/>
    </xf>
    <xf numFmtId="0" fontId="24" fillId="0" borderId="0" xfId="0" applyFont="1" applyAlignment="1" applyProtection="1">
      <alignment horizontal="left" indent="1"/>
      <protection locked="0"/>
    </xf>
    <xf numFmtId="0" fontId="19" fillId="21" borderId="11" xfId="0" applyFont="1" applyFill="1" applyBorder="1" applyAlignment="1" applyProtection="1">
      <alignment horizontal="left" indent="1"/>
      <protection locked="0"/>
    </xf>
    <xf numFmtId="165" fontId="22" fillId="21" borderId="11" xfId="0" applyNumberFormat="1" applyFont="1" applyFill="1" applyBorder="1" applyAlignment="1">
      <alignment horizontal="left" indent="1"/>
    </xf>
    <xf numFmtId="2" fontId="23" fillId="21" borderId="13" xfId="0" applyNumberFormat="1" applyFont="1" applyFill="1" applyBorder="1" applyAlignment="1" applyProtection="1">
      <alignment horizontal="left" indent="1"/>
      <protection locked="0"/>
    </xf>
    <xf numFmtId="0" fontId="23" fillId="21" borderId="13" xfId="0" applyFont="1" applyFill="1" applyBorder="1" applyAlignment="1" applyProtection="1">
      <alignment horizontal="left" indent="1"/>
      <protection locked="0"/>
    </xf>
    <xf numFmtId="2" fontId="21" fillId="21" borderId="13" xfId="0" applyNumberFormat="1" applyFont="1" applyFill="1" applyBorder="1" applyAlignment="1">
      <alignment horizontal="left" indent="1"/>
    </xf>
    <xf numFmtId="2" fontId="25" fillId="0" borderId="0" xfId="0" applyNumberFormat="1" applyFont="1" applyAlignment="1" applyProtection="1">
      <alignment horizontal="left" indent="1"/>
      <protection locked="0"/>
    </xf>
    <xf numFmtId="164" fontId="22" fillId="27" borderId="0" xfId="0" applyNumberFormat="1" applyFont="1" applyFill="1" applyAlignment="1">
      <alignment horizontal="center"/>
    </xf>
    <xf numFmtId="165" fontId="22" fillId="27" borderId="0" xfId="0" applyNumberFormat="1" applyFont="1" applyFill="1" applyAlignment="1">
      <alignment horizontal="center"/>
    </xf>
    <xf numFmtId="0" fontId="21" fillId="27" borderId="21" xfId="0" applyFont="1" applyFill="1" applyBorder="1" applyAlignment="1" applyProtection="1">
      <alignment horizontal="center"/>
      <protection locked="0"/>
    </xf>
    <xf numFmtId="0" fontId="22" fillId="27" borderId="10" xfId="0" applyFont="1" applyFill="1" applyBorder="1" applyAlignment="1" applyProtection="1">
      <alignment horizontal="center"/>
      <protection locked="0"/>
    </xf>
    <xf numFmtId="0" fontId="22" fillId="27" borderId="12" xfId="0" applyFont="1" applyFill="1" applyBorder="1" applyAlignment="1" applyProtection="1">
      <alignment horizontal="center"/>
      <protection locked="0"/>
    </xf>
    <xf numFmtId="0" fontId="22" fillId="27" borderId="9" xfId="0" applyFont="1" applyFill="1" applyBorder="1" applyAlignment="1" applyProtection="1">
      <alignment horizontal="center"/>
      <protection locked="0"/>
    </xf>
    <xf numFmtId="0" fontId="22" fillId="27" borderId="18" xfId="0" applyFont="1" applyFill="1" applyBorder="1" applyAlignment="1" applyProtection="1">
      <alignment horizontal="center"/>
      <protection locked="0"/>
    </xf>
    <xf numFmtId="0" fontId="22" fillId="27" borderId="10" xfId="0" applyFont="1" applyFill="1" applyBorder="1" applyAlignment="1" applyProtection="1">
      <alignment horizontal="left" indent="1"/>
      <protection locked="0"/>
    </xf>
    <xf numFmtId="2" fontId="22" fillId="27" borderId="10" xfId="0" applyNumberFormat="1" applyFont="1" applyFill="1" applyBorder="1"/>
    <xf numFmtId="2" fontId="22" fillId="28" borderId="22" xfId="0" applyNumberFormat="1" applyFont="1" applyFill="1" applyBorder="1"/>
    <xf numFmtId="2" fontId="21" fillId="27" borderId="10" xfId="0" applyNumberFormat="1" applyFont="1" applyFill="1" applyBorder="1"/>
    <xf numFmtId="2" fontId="23" fillId="29" borderId="18" xfId="0" applyNumberFormat="1" applyFont="1" applyFill="1" applyBorder="1" applyProtection="1">
      <protection locked="0"/>
    </xf>
    <xf numFmtId="2" fontId="23" fillId="0" borderId="9" xfId="0" applyNumberFormat="1" applyFont="1" applyBorder="1" applyProtection="1">
      <protection locked="0"/>
    </xf>
    <xf numFmtId="2" fontId="21" fillId="0" borderId="9" xfId="0" applyNumberFormat="1" applyFont="1" applyBorder="1" applyProtection="1">
      <protection locked="0"/>
    </xf>
    <xf numFmtId="2" fontId="23" fillId="0" borderId="9" xfId="0" applyNumberFormat="1" applyFont="1" applyBorder="1"/>
    <xf numFmtId="168" fontId="21" fillId="0" borderId="0" xfId="0" applyNumberFormat="1" applyFont="1"/>
    <xf numFmtId="0" fontId="21" fillId="28" borderId="10" xfId="0" applyFont="1" applyFill="1" applyBorder="1" applyAlignment="1" applyProtection="1">
      <alignment horizontal="left" indent="1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2" fontId="22" fillId="22" borderId="10" xfId="0" applyNumberFormat="1" applyFont="1" applyFill="1" applyBorder="1"/>
    <xf numFmtId="2" fontId="21" fillId="30" borderId="20" xfId="0" applyNumberFormat="1" applyFont="1" applyFill="1" applyBorder="1" applyAlignment="1" applyProtection="1">
      <alignment horizontal="right"/>
      <protection locked="0"/>
    </xf>
    <xf numFmtId="2" fontId="21" fillId="30" borderId="19" xfId="0" applyNumberFormat="1" applyFont="1" applyFill="1" applyBorder="1" applyAlignment="1" applyProtection="1">
      <alignment horizontal="right"/>
      <protection locked="0"/>
    </xf>
    <xf numFmtId="44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44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44" fontId="21" fillId="0" borderId="23" xfId="0" applyNumberFormat="1" applyFont="1" applyBorder="1" applyAlignment="1">
      <alignment horizontal="center"/>
    </xf>
    <xf numFmtId="170" fontId="21" fillId="0" borderId="23" xfId="0" applyNumberFormat="1" applyFont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2" fontId="21" fillId="27" borderId="9" xfId="0" applyNumberFormat="1" applyFont="1" applyFill="1" applyBorder="1"/>
    <xf numFmtId="164" fontId="23" fillId="21" borderId="10" xfId="0" applyNumberFormat="1" applyFont="1" applyFill="1" applyBorder="1" applyAlignment="1">
      <alignment horizontal="center"/>
    </xf>
    <xf numFmtId="2" fontId="19" fillId="31" borderId="9" xfId="0" applyNumberFormat="1" applyFont="1" applyFill="1" applyBorder="1" applyProtection="1">
      <protection locked="0"/>
    </xf>
    <xf numFmtId="2" fontId="22" fillId="0" borderId="0" xfId="0" applyNumberFormat="1" applyFont="1" applyAlignment="1">
      <alignment horizontal="right"/>
    </xf>
    <xf numFmtId="44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center"/>
    </xf>
    <xf numFmtId="170" fontId="23" fillId="24" borderId="9" xfId="0" applyNumberFormat="1" applyFont="1" applyFill="1" applyBorder="1" applyProtection="1">
      <protection locked="0"/>
    </xf>
    <xf numFmtId="165" fontId="23" fillId="0" borderId="9" xfId="0" applyNumberFormat="1" applyFont="1" applyBorder="1" applyAlignment="1">
      <alignment horizontal="center"/>
    </xf>
    <xf numFmtId="164" fontId="23" fillId="21" borderId="9" xfId="0" applyNumberFormat="1" applyFont="1" applyFill="1" applyBorder="1" applyAlignment="1">
      <alignment horizontal="center"/>
    </xf>
    <xf numFmtId="2" fontId="22" fillId="31" borderId="9" xfId="0" applyNumberFormat="1" applyFont="1" applyFill="1" applyBorder="1"/>
    <xf numFmtId="2" fontId="19" fillId="0" borderId="0" xfId="0" applyNumberFormat="1" applyFont="1" applyAlignment="1">
      <alignment horizontal="right"/>
    </xf>
    <xf numFmtId="2" fontId="21" fillId="30" borderId="13" xfId="0" applyNumberFormat="1" applyFont="1" applyFill="1" applyBorder="1" applyAlignment="1" applyProtection="1">
      <alignment horizontal="right"/>
      <protection locked="0"/>
    </xf>
    <xf numFmtId="0" fontId="19" fillId="0" borderId="22" xfId="0" applyFont="1" applyBorder="1" applyAlignment="1" applyProtection="1">
      <alignment horizontal="left"/>
      <protection locked="0"/>
    </xf>
    <xf numFmtId="2" fontId="23" fillId="30" borderId="13" xfId="0" applyNumberFormat="1" applyFont="1" applyFill="1" applyBorder="1" applyAlignment="1" applyProtection="1">
      <alignment horizontal="right"/>
      <protection locked="0"/>
    </xf>
    <xf numFmtId="171" fontId="22" fillId="0" borderId="0" xfId="0" applyNumberFormat="1" applyFont="1" applyAlignment="1">
      <alignment horizontal="right"/>
    </xf>
    <xf numFmtId="167" fontId="22" fillId="0" borderId="0" xfId="40" applyNumberFormat="1" applyFont="1" applyAlignment="1">
      <alignment horizontal="center"/>
    </xf>
    <xf numFmtId="2" fontId="22" fillId="0" borderId="0" xfId="0" applyNumberFormat="1" applyFont="1" applyBorder="1" applyAlignment="1">
      <alignment horizontal="right"/>
    </xf>
    <xf numFmtId="167" fontId="22" fillId="0" borderId="0" xfId="40" applyNumberFormat="1" applyFont="1" applyBorder="1" applyAlignment="1">
      <alignment horizontal="left"/>
    </xf>
    <xf numFmtId="171" fontId="19" fillId="32" borderId="9" xfId="0" applyNumberFormat="1" applyFont="1" applyFill="1" applyBorder="1" applyProtection="1">
      <protection locked="0"/>
    </xf>
    <xf numFmtId="171" fontId="23" fillId="30" borderId="18" xfId="0" applyNumberFormat="1" applyFont="1" applyFill="1" applyBorder="1" applyProtection="1">
      <protection locked="0"/>
    </xf>
    <xf numFmtId="171" fontId="19" fillId="32" borderId="9" xfId="0" applyNumberFormat="1" applyFont="1" applyFill="1" applyBorder="1"/>
    <xf numFmtId="171" fontId="23" fillId="33" borderId="18" xfId="0" applyNumberFormat="1" applyFont="1" applyFill="1" applyBorder="1" applyProtection="1">
      <protection locked="0"/>
    </xf>
    <xf numFmtId="0" fontId="22" fillId="27" borderId="18" xfId="0" applyFont="1" applyFill="1" applyBorder="1" applyAlignment="1" applyProtection="1">
      <alignment horizontal="left" indent="1"/>
      <protection locked="0"/>
    </xf>
    <xf numFmtId="0" fontId="22" fillId="0" borderId="0" xfId="0" applyFont="1" applyAlignment="1">
      <alignment horizontal="left" indent="1"/>
    </xf>
    <xf numFmtId="0" fontId="22" fillId="27" borderId="10" xfId="0" applyFont="1" applyFill="1" applyBorder="1" applyAlignment="1" applyProtection="1">
      <alignment horizontal="left" indent="2"/>
      <protection locked="0"/>
    </xf>
    <xf numFmtId="2" fontId="23" fillId="21" borderId="20" xfId="0" applyNumberFormat="1" applyFont="1" applyFill="1" applyBorder="1" applyAlignment="1" applyProtection="1">
      <alignment horizontal="left" indent="1"/>
      <protection locked="0"/>
    </xf>
    <xf numFmtId="168" fontId="21" fillId="27" borderId="9" xfId="0" applyNumberFormat="1" applyFont="1" applyFill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0" fontId="19" fillId="21" borderId="11" xfId="0" applyFont="1" applyFill="1" applyBorder="1" applyAlignment="1" applyProtection="1">
      <alignment horizontal="center"/>
      <protection locked="0"/>
    </xf>
    <xf numFmtId="2" fontId="21" fillId="27" borderId="10" xfId="0" applyNumberFormat="1" applyFont="1" applyFill="1" applyBorder="1" applyAlignment="1">
      <alignment horizontal="center"/>
    </xf>
    <xf numFmtId="9" fontId="23" fillId="34" borderId="18" xfId="40" applyFont="1" applyFill="1" applyBorder="1" applyAlignment="1" applyProtection="1">
      <alignment horizontal="center"/>
      <protection locked="0"/>
    </xf>
    <xf numFmtId="2" fontId="25" fillId="0" borderId="0" xfId="0" applyNumberFormat="1" applyFont="1" applyAlignment="1">
      <alignment horizontal="center"/>
    </xf>
    <xf numFmtId="171" fontId="23" fillId="35" borderId="18" xfId="0" applyNumberFormat="1" applyFont="1" applyFill="1" applyBorder="1" applyProtection="1">
      <protection locked="0"/>
    </xf>
    <xf numFmtId="0" fontId="21" fillId="27" borderId="9" xfId="0" applyFont="1" applyFill="1" applyBorder="1" applyAlignment="1" applyProtection="1">
      <alignment horizontal="center"/>
      <protection locked="0"/>
    </xf>
    <xf numFmtId="0" fontId="22" fillId="27" borderId="9" xfId="0" applyFont="1" applyFill="1" applyBorder="1" applyAlignment="1" applyProtection="1">
      <alignment horizontal="left" indent="1"/>
      <protection locked="0"/>
    </xf>
    <xf numFmtId="0" fontId="21" fillId="28" borderId="9" xfId="0" applyFont="1" applyFill="1" applyBorder="1" applyAlignment="1" applyProtection="1">
      <alignment horizontal="left" indent="1"/>
      <protection locked="0"/>
    </xf>
    <xf numFmtId="2" fontId="21" fillId="27" borderId="9" xfId="0" applyNumberFormat="1" applyFont="1" applyFill="1" applyBorder="1" applyAlignment="1">
      <alignment horizontal="center"/>
    </xf>
    <xf numFmtId="9" fontId="23" fillId="34" borderId="9" xfId="40" applyFont="1" applyFill="1" applyBorder="1" applyAlignment="1" applyProtection="1">
      <alignment horizontal="center"/>
      <protection locked="0"/>
    </xf>
    <xf numFmtId="171" fontId="23" fillId="35" borderId="9" xfId="0" applyNumberFormat="1" applyFont="1" applyFill="1" applyBorder="1" applyProtection="1">
      <protection locked="0"/>
    </xf>
    <xf numFmtId="171" fontId="19" fillId="35" borderId="9" xfId="0" applyNumberFormat="1" applyFont="1" applyFill="1" applyBorder="1" applyProtection="1">
      <protection locked="0"/>
    </xf>
    <xf numFmtId="171" fontId="19" fillId="36" borderId="10" xfId="0" applyNumberFormat="1" applyFont="1" applyFill="1" applyBorder="1"/>
    <xf numFmtId="171" fontId="19" fillId="35" borderId="18" xfId="0" applyNumberFormat="1" applyFont="1" applyFill="1" applyBorder="1" applyProtection="1">
      <protection locked="0"/>
    </xf>
    <xf numFmtId="171" fontId="22" fillId="0" borderId="9" xfId="40" applyNumberFormat="1" applyFont="1" applyBorder="1" applyAlignment="1" applyProtection="1">
      <alignment horizontal="center"/>
      <protection locked="0"/>
    </xf>
    <xf numFmtId="171" fontId="21" fillId="28" borderId="9" xfId="0" applyNumberFormat="1" applyFont="1" applyFill="1" applyBorder="1" applyAlignment="1" applyProtection="1">
      <alignment horizontal="center"/>
      <protection locked="0"/>
    </xf>
    <xf numFmtId="2" fontId="22" fillId="28" borderId="9" xfId="0" applyNumberFormat="1" applyFont="1" applyFill="1" applyBorder="1" applyAlignment="1">
      <alignment horizontal="center"/>
    </xf>
    <xf numFmtId="171" fontId="23" fillId="36" borderId="9" xfId="0" applyNumberFormat="1" applyFont="1" applyFill="1" applyBorder="1" applyAlignment="1" applyProtection="1">
      <alignment horizontal="center"/>
      <protection locked="0"/>
    </xf>
    <xf numFmtId="171" fontId="19" fillId="32" borderId="9" xfId="0" applyNumberFormat="1" applyFont="1" applyFill="1" applyBorder="1" applyAlignment="1" applyProtection="1">
      <alignment horizontal="center"/>
      <protection locked="0"/>
    </xf>
    <xf numFmtId="171" fontId="23" fillId="30" borderId="9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2" fontId="24" fillId="0" borderId="0" xfId="0" applyNumberFormat="1" applyFont="1" applyAlignment="1">
      <alignment horizontal="center"/>
    </xf>
    <xf numFmtId="2" fontId="22" fillId="0" borderId="14" xfId="40" applyNumberFormat="1" applyFont="1" applyBorder="1" applyAlignment="1">
      <alignment horizontal="center"/>
    </xf>
    <xf numFmtId="2" fontId="22" fillId="0" borderId="9" xfId="40" applyNumberFormat="1" applyFont="1" applyBorder="1" applyAlignment="1" applyProtection="1">
      <alignment horizontal="center"/>
      <protection locked="0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left" vertical="center" indent="2"/>
      <protection locked="0"/>
    </xf>
    <xf numFmtId="0" fontId="21" fillId="0" borderId="15" xfId="0" applyFont="1" applyBorder="1" applyAlignment="1" applyProtection="1">
      <alignment horizontal="left" vertical="center" indent="2"/>
      <protection locked="0"/>
    </xf>
    <xf numFmtId="164" fontId="21" fillId="0" borderId="9" xfId="0" applyNumberFormat="1" applyFont="1" applyBorder="1" applyAlignment="1">
      <alignment horizontal="center" vertical="center" wrapText="1"/>
    </xf>
    <xf numFmtId="166" fontId="21" fillId="0" borderId="16" xfId="0" applyNumberFormat="1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left" vertical="center" indent="1"/>
      <protection locked="0"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8" fontId="21" fillId="0" borderId="9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vertical="center" indent="2"/>
      <protection locked="0"/>
    </xf>
    <xf numFmtId="2" fontId="21" fillId="0" borderId="16" xfId="0" applyNumberFormat="1" applyFont="1" applyBorder="1" applyAlignment="1" applyProtection="1">
      <alignment horizontal="center" vertical="center" wrapText="1"/>
      <protection locked="0"/>
    </xf>
    <xf numFmtId="2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Calcul" xfId="20" xr:uid="{00000000-0005-0000-0000-000013000000}"/>
    <cellStyle name="Cellule liée" xfId="21" xr:uid="{00000000-0005-0000-0000-000014000000}"/>
    <cellStyle name="Comma 3" xfId="22" xr:uid="{00000000-0005-0000-0000-000015000000}"/>
    <cellStyle name="Commentaire" xfId="23" xr:uid="{00000000-0005-0000-0000-000016000000}"/>
    <cellStyle name="Currency 2" xfId="24" xr:uid="{00000000-0005-0000-0000-000017000000}"/>
    <cellStyle name="Currency 2 2" xfId="25" xr:uid="{00000000-0005-0000-0000-000018000000}"/>
    <cellStyle name="Entrée" xfId="26" xr:uid="{00000000-0005-0000-0000-000019000000}"/>
    <cellStyle name="Insatisfaisant" xfId="27" xr:uid="{00000000-0005-0000-0000-00001A000000}"/>
    <cellStyle name="Neutre" xfId="28" xr:uid="{00000000-0005-0000-0000-00001B000000}"/>
    <cellStyle name="Normal" xfId="0" builtinId="0"/>
    <cellStyle name="Normal 2" xfId="29" xr:uid="{00000000-0005-0000-0000-00001D000000}"/>
    <cellStyle name="Normal 3" xfId="30" xr:uid="{00000000-0005-0000-0000-00001E000000}"/>
    <cellStyle name="Percent" xfId="40" builtinId="5"/>
    <cellStyle name="Satisfaisant" xfId="31" xr:uid="{00000000-0005-0000-0000-000020000000}"/>
    <cellStyle name="Sortie" xfId="32" xr:uid="{00000000-0005-0000-0000-000021000000}"/>
    <cellStyle name="Texte explicatif" xfId="33" xr:uid="{00000000-0005-0000-0000-000022000000}"/>
    <cellStyle name="Titre" xfId="34" xr:uid="{00000000-0005-0000-0000-000023000000}"/>
    <cellStyle name="Titre 1" xfId="35" xr:uid="{00000000-0005-0000-0000-000024000000}"/>
    <cellStyle name="Titre 2" xfId="36" xr:uid="{00000000-0005-0000-0000-000025000000}"/>
    <cellStyle name="Titre 3" xfId="37" xr:uid="{00000000-0005-0000-0000-000026000000}"/>
    <cellStyle name="Titre 4" xfId="38" xr:uid="{00000000-0005-0000-0000-000027000000}"/>
    <cellStyle name="Vérification" xfId="39" xr:uid="{00000000-0005-0000-0000-000028000000}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condense val="0"/>
        <extend val="0"/>
        <color indexed="8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2"/>
  <sheetViews>
    <sheetView showGridLines="0" tabSelected="1" topLeftCell="C1" zoomScale="80" zoomScaleNormal="80" zoomScaleSheetLayoutView="75" workbookViewId="0">
      <pane ySplit="3" topLeftCell="A4" activePane="bottomLeft" state="frozen"/>
      <selection activeCell="A7" sqref="A7"/>
      <selection pane="bottomLeft" activeCell="P24" sqref="P24"/>
    </sheetView>
  </sheetViews>
  <sheetFormatPr defaultColWidth="8.41015625" defaultRowHeight="20.100000000000001" customHeight="1" x14ac:dyDescent="0.35"/>
  <cols>
    <col min="1" max="1" width="8.703125" style="44" customWidth="1"/>
    <col min="2" max="3" width="8.703125" style="57" customWidth="1"/>
    <col min="4" max="4" width="15.703125" style="63" customWidth="1"/>
    <col min="5" max="5" width="20.703125" style="63" customWidth="1"/>
    <col min="6" max="6" width="60.703125" style="69" customWidth="1"/>
    <col min="7" max="7" width="9.1171875" style="148" customWidth="1"/>
    <col min="8" max="8" width="10.703125" style="149" customWidth="1"/>
    <col min="9" max="11" width="10.703125" style="131" customWidth="1"/>
    <col min="12" max="13" width="9.29296875" style="2" bestFit="1" customWidth="1"/>
    <col min="14" max="16384" width="8.41015625" style="2"/>
  </cols>
  <sheetData>
    <row r="1" spans="1:13" s="4" customFormat="1" ht="20.100000000000001" customHeight="1" x14ac:dyDescent="0.35">
      <c r="A1" s="155" t="s">
        <v>10</v>
      </c>
      <c r="B1" s="152" t="s">
        <v>92</v>
      </c>
      <c r="C1" s="152" t="s">
        <v>63</v>
      </c>
      <c r="D1" s="155" t="s">
        <v>11</v>
      </c>
      <c r="E1" s="155" t="s">
        <v>12</v>
      </c>
      <c r="F1" s="157" t="s">
        <v>14</v>
      </c>
      <c r="G1" s="152" t="s">
        <v>95</v>
      </c>
      <c r="H1" s="152" t="s">
        <v>90</v>
      </c>
      <c r="I1" s="152" t="s">
        <v>91</v>
      </c>
      <c r="J1" s="152" t="s">
        <v>93</v>
      </c>
      <c r="K1" s="152" t="s">
        <v>94</v>
      </c>
      <c r="L1" s="152" t="s">
        <v>96</v>
      </c>
      <c r="M1" s="152" t="s">
        <v>97</v>
      </c>
    </row>
    <row r="2" spans="1:13" s="4" customFormat="1" ht="20.100000000000001" customHeight="1" x14ac:dyDescent="0.35">
      <c r="A2" s="156"/>
      <c r="B2" s="154"/>
      <c r="C2" s="154"/>
      <c r="D2" s="156"/>
      <c r="E2" s="156"/>
      <c r="F2" s="158"/>
      <c r="G2" s="154"/>
      <c r="H2" s="154"/>
      <c r="I2" s="154"/>
      <c r="J2" s="154"/>
      <c r="K2" s="154"/>
      <c r="L2" s="153"/>
      <c r="M2" s="153"/>
    </row>
    <row r="3" spans="1:13" s="5" customFormat="1" ht="20.100000000000001" customHeight="1" x14ac:dyDescent="0.35">
      <c r="A3" s="133"/>
      <c r="B3" s="75"/>
      <c r="C3" s="75"/>
      <c r="D3" s="134"/>
      <c r="E3" s="134"/>
      <c r="F3" s="135"/>
      <c r="G3" s="143"/>
      <c r="H3" s="144"/>
      <c r="I3" s="136"/>
      <c r="J3" s="136"/>
      <c r="K3" s="136"/>
      <c r="L3" s="136"/>
      <c r="M3" s="136"/>
    </row>
    <row r="4" spans="1:13" ht="20.100000000000001" customHeight="1" x14ac:dyDescent="0.35">
      <c r="A4" s="40" t="s">
        <v>100</v>
      </c>
      <c r="B4" s="58">
        <v>6</v>
      </c>
      <c r="C4" s="58" t="s">
        <v>64</v>
      </c>
      <c r="D4" s="58" t="s">
        <v>1</v>
      </c>
      <c r="E4" s="64" t="s">
        <v>101</v>
      </c>
      <c r="F4" s="66" t="s">
        <v>102</v>
      </c>
      <c r="G4" s="145">
        <v>13.390649999999999</v>
      </c>
      <c r="H4" s="146">
        <v>56.400000000000006</v>
      </c>
      <c r="I4" s="147">
        <v>9.4</v>
      </c>
      <c r="J4" s="137">
        <v>0</v>
      </c>
      <c r="K4" s="138">
        <f t="shared" ref="K4:K67" si="0">SUM(I4*(1-J4))</f>
        <v>9.4</v>
      </c>
      <c r="L4" s="139">
        <f t="shared" ref="L4:L67" si="1">K4*B4</f>
        <v>56.400000000000006</v>
      </c>
      <c r="M4" s="138">
        <f t="shared" ref="M4:M67" si="2">L4-G4</f>
        <v>43.009350000000005</v>
      </c>
    </row>
    <row r="5" spans="1:13" ht="20.100000000000001" customHeight="1" x14ac:dyDescent="0.35">
      <c r="A5" s="40" t="s">
        <v>100</v>
      </c>
      <c r="B5" s="58">
        <v>6</v>
      </c>
      <c r="C5" s="58" t="s">
        <v>64</v>
      </c>
      <c r="D5" s="58" t="s">
        <v>1</v>
      </c>
      <c r="E5" s="64" t="s">
        <v>101</v>
      </c>
      <c r="F5" s="66" t="s">
        <v>103</v>
      </c>
      <c r="G5" s="145">
        <v>13.390649999999999</v>
      </c>
      <c r="H5" s="146">
        <v>51</v>
      </c>
      <c r="I5" s="147">
        <v>8.5</v>
      </c>
      <c r="J5" s="137">
        <v>0</v>
      </c>
      <c r="K5" s="138">
        <f t="shared" si="0"/>
        <v>8.5</v>
      </c>
      <c r="L5" s="139">
        <f t="shared" si="1"/>
        <v>51</v>
      </c>
      <c r="M5" s="138">
        <f t="shared" si="2"/>
        <v>37.609349999999999</v>
      </c>
    </row>
    <row r="6" spans="1:13" ht="20.100000000000001" customHeight="1" x14ac:dyDescent="0.35">
      <c r="A6" s="40" t="s">
        <v>100</v>
      </c>
      <c r="B6" s="58">
        <v>12</v>
      </c>
      <c r="C6" s="58" t="s">
        <v>66</v>
      </c>
      <c r="D6" s="58" t="s">
        <v>1</v>
      </c>
      <c r="E6" s="64" t="s">
        <v>104</v>
      </c>
      <c r="F6" s="66" t="s">
        <v>105</v>
      </c>
      <c r="G6" s="145">
        <v>26.781299999999998</v>
      </c>
      <c r="H6" s="146">
        <v>121.19999999999999</v>
      </c>
      <c r="I6" s="147">
        <v>10.1</v>
      </c>
      <c r="J6" s="137">
        <v>0</v>
      </c>
      <c r="K6" s="138">
        <f t="shared" si="0"/>
        <v>10.1</v>
      </c>
      <c r="L6" s="139">
        <f t="shared" si="1"/>
        <v>121.19999999999999</v>
      </c>
      <c r="M6" s="138">
        <f t="shared" si="2"/>
        <v>94.418699999999987</v>
      </c>
    </row>
    <row r="7" spans="1:13" ht="20.100000000000001" customHeight="1" x14ac:dyDescent="0.35">
      <c r="A7" s="40" t="s">
        <v>100</v>
      </c>
      <c r="B7" s="58">
        <v>12</v>
      </c>
      <c r="C7" s="58" t="s">
        <v>66</v>
      </c>
      <c r="D7" s="58" t="s">
        <v>1</v>
      </c>
      <c r="E7" s="64" t="s">
        <v>104</v>
      </c>
      <c r="F7" s="66" t="s">
        <v>106</v>
      </c>
      <c r="G7" s="145">
        <v>34.3035</v>
      </c>
      <c r="H7" s="146">
        <v>178.8</v>
      </c>
      <c r="I7" s="147">
        <v>14.9</v>
      </c>
      <c r="J7" s="137">
        <v>0</v>
      </c>
      <c r="K7" s="138">
        <f t="shared" si="0"/>
        <v>14.9</v>
      </c>
      <c r="L7" s="139">
        <f t="shared" si="1"/>
        <v>178.8</v>
      </c>
      <c r="M7" s="138">
        <f t="shared" si="2"/>
        <v>144.49650000000003</v>
      </c>
    </row>
    <row r="8" spans="1:13" ht="20.100000000000001" customHeight="1" x14ac:dyDescent="0.35">
      <c r="A8" s="40" t="s">
        <v>100</v>
      </c>
      <c r="B8" s="58">
        <v>12</v>
      </c>
      <c r="C8" s="58" t="s">
        <v>66</v>
      </c>
      <c r="D8" s="58" t="s">
        <v>1</v>
      </c>
      <c r="E8" s="64" t="s">
        <v>104</v>
      </c>
      <c r="F8" s="66" t="s">
        <v>107</v>
      </c>
      <c r="G8" s="145">
        <v>26.781299999999998</v>
      </c>
      <c r="H8" s="146">
        <v>130.80000000000001</v>
      </c>
      <c r="I8" s="147">
        <v>10.9</v>
      </c>
      <c r="J8" s="137">
        <v>0</v>
      </c>
      <c r="K8" s="138">
        <f t="shared" si="0"/>
        <v>10.9</v>
      </c>
      <c r="L8" s="139">
        <f t="shared" si="1"/>
        <v>130.80000000000001</v>
      </c>
      <c r="M8" s="138">
        <f t="shared" si="2"/>
        <v>104.01870000000001</v>
      </c>
    </row>
    <row r="9" spans="1:13" ht="20.100000000000001" customHeight="1" x14ac:dyDescent="0.35">
      <c r="A9" s="40" t="s">
        <v>100</v>
      </c>
      <c r="B9" s="58">
        <v>12</v>
      </c>
      <c r="C9" s="58" t="s">
        <v>65</v>
      </c>
      <c r="D9" s="58" t="s">
        <v>2</v>
      </c>
      <c r="E9" s="64" t="s">
        <v>108</v>
      </c>
      <c r="F9" s="66" t="s">
        <v>109</v>
      </c>
      <c r="G9" s="145">
        <v>26.781299999999998</v>
      </c>
      <c r="H9" s="146">
        <v>115.19999999999999</v>
      </c>
      <c r="I9" s="147">
        <v>9.6</v>
      </c>
      <c r="J9" s="137">
        <v>0</v>
      </c>
      <c r="K9" s="138">
        <f t="shared" si="0"/>
        <v>9.6</v>
      </c>
      <c r="L9" s="139">
        <f t="shared" si="1"/>
        <v>115.19999999999999</v>
      </c>
      <c r="M9" s="138">
        <f t="shared" si="2"/>
        <v>88.418699999999987</v>
      </c>
    </row>
    <row r="10" spans="1:13" ht="20.100000000000001" customHeight="1" x14ac:dyDescent="0.35">
      <c r="A10" s="40">
        <v>2392</v>
      </c>
      <c r="B10" s="58">
        <v>6</v>
      </c>
      <c r="C10" s="58" t="s">
        <v>65</v>
      </c>
      <c r="D10" s="58" t="s">
        <v>1</v>
      </c>
      <c r="E10" s="64" t="s">
        <v>110</v>
      </c>
      <c r="F10" s="66" t="s">
        <v>111</v>
      </c>
      <c r="G10" s="145">
        <v>13.390649999999999</v>
      </c>
      <c r="H10" s="146">
        <v>132.60000000000002</v>
      </c>
      <c r="I10" s="147">
        <v>22.1</v>
      </c>
      <c r="J10" s="137">
        <v>0</v>
      </c>
      <c r="K10" s="138">
        <f t="shared" si="0"/>
        <v>22.1</v>
      </c>
      <c r="L10" s="139">
        <f t="shared" si="1"/>
        <v>132.60000000000002</v>
      </c>
      <c r="M10" s="138">
        <f t="shared" si="2"/>
        <v>119.20935000000003</v>
      </c>
    </row>
    <row r="11" spans="1:13" ht="20.100000000000001" customHeight="1" x14ac:dyDescent="0.35">
      <c r="A11" s="40">
        <v>2394</v>
      </c>
      <c r="B11" s="58">
        <v>6</v>
      </c>
      <c r="C11" s="58" t="s">
        <v>65</v>
      </c>
      <c r="D11" s="58" t="s">
        <v>1</v>
      </c>
      <c r="E11" s="64" t="s">
        <v>110</v>
      </c>
      <c r="F11" s="66" t="s">
        <v>112</v>
      </c>
      <c r="G11" s="145">
        <v>13.390649999999999</v>
      </c>
      <c r="H11" s="146">
        <v>132.60000000000002</v>
      </c>
      <c r="I11" s="147">
        <v>22.1</v>
      </c>
      <c r="J11" s="137">
        <v>0</v>
      </c>
      <c r="K11" s="138">
        <f t="shared" si="0"/>
        <v>22.1</v>
      </c>
      <c r="L11" s="139">
        <f t="shared" si="1"/>
        <v>132.60000000000002</v>
      </c>
      <c r="M11" s="138">
        <f t="shared" si="2"/>
        <v>119.20935000000003</v>
      </c>
    </row>
    <row r="12" spans="1:13" ht="20.100000000000001" customHeight="1" x14ac:dyDescent="0.35">
      <c r="A12" s="40">
        <v>3143</v>
      </c>
      <c r="B12" s="58">
        <v>6</v>
      </c>
      <c r="C12" s="58" t="s">
        <v>65</v>
      </c>
      <c r="D12" s="58" t="s">
        <v>2</v>
      </c>
      <c r="E12" s="64" t="s">
        <v>21</v>
      </c>
      <c r="F12" s="66" t="s">
        <v>113</v>
      </c>
      <c r="G12" s="145">
        <v>13.390649999999999</v>
      </c>
      <c r="H12" s="146">
        <v>64.199999999999989</v>
      </c>
      <c r="I12" s="147">
        <v>10.7</v>
      </c>
      <c r="J12" s="137">
        <v>0</v>
      </c>
      <c r="K12" s="138">
        <f t="shared" si="0"/>
        <v>10.7</v>
      </c>
      <c r="L12" s="139">
        <f t="shared" si="1"/>
        <v>64.199999999999989</v>
      </c>
      <c r="M12" s="138">
        <f t="shared" si="2"/>
        <v>50.809349999999988</v>
      </c>
    </row>
    <row r="13" spans="1:13" ht="20.100000000000001" customHeight="1" x14ac:dyDescent="0.35">
      <c r="A13" s="40" t="s">
        <v>114</v>
      </c>
      <c r="B13" s="58">
        <v>6</v>
      </c>
      <c r="C13" s="58" t="s">
        <v>64</v>
      </c>
      <c r="D13" s="58" t="s">
        <v>1</v>
      </c>
      <c r="E13" s="64" t="s">
        <v>44</v>
      </c>
      <c r="F13" s="66" t="s">
        <v>115</v>
      </c>
      <c r="G13" s="145">
        <v>13.390649999999999</v>
      </c>
      <c r="H13" s="146">
        <v>63.599999999999994</v>
      </c>
      <c r="I13" s="147">
        <v>10.6</v>
      </c>
      <c r="J13" s="137">
        <v>0</v>
      </c>
      <c r="K13" s="138">
        <f t="shared" si="0"/>
        <v>10.6</v>
      </c>
      <c r="L13" s="139">
        <f t="shared" si="1"/>
        <v>63.599999999999994</v>
      </c>
      <c r="M13" s="138">
        <f t="shared" si="2"/>
        <v>50.209349999999993</v>
      </c>
    </row>
    <row r="14" spans="1:13" ht="20.100000000000001" customHeight="1" x14ac:dyDescent="0.35">
      <c r="A14" s="40">
        <v>2314</v>
      </c>
      <c r="B14" s="58">
        <v>12</v>
      </c>
      <c r="C14" s="58" t="s">
        <v>65</v>
      </c>
      <c r="D14" s="58" t="s">
        <v>1</v>
      </c>
      <c r="E14" s="64" t="s">
        <v>110</v>
      </c>
      <c r="F14" s="66" t="s">
        <v>116</v>
      </c>
      <c r="G14" s="145">
        <v>26.781299999999998</v>
      </c>
      <c r="H14" s="146">
        <v>184.8</v>
      </c>
      <c r="I14" s="147">
        <v>15.4</v>
      </c>
      <c r="J14" s="137">
        <v>0</v>
      </c>
      <c r="K14" s="138">
        <f t="shared" si="0"/>
        <v>15.4</v>
      </c>
      <c r="L14" s="139">
        <f t="shared" si="1"/>
        <v>184.8</v>
      </c>
      <c r="M14" s="138">
        <f t="shared" si="2"/>
        <v>158.01870000000002</v>
      </c>
    </row>
    <row r="15" spans="1:13" ht="20.100000000000001" customHeight="1" x14ac:dyDescent="0.35">
      <c r="A15" s="40">
        <v>2312</v>
      </c>
      <c r="B15" s="58">
        <v>12</v>
      </c>
      <c r="C15" s="58" t="s">
        <v>65</v>
      </c>
      <c r="D15" s="58" t="s">
        <v>1</v>
      </c>
      <c r="E15" s="64" t="s">
        <v>110</v>
      </c>
      <c r="F15" s="66" t="s">
        <v>117</v>
      </c>
      <c r="G15" s="145">
        <v>26.781299999999998</v>
      </c>
      <c r="H15" s="146">
        <v>145.19999999999999</v>
      </c>
      <c r="I15" s="147">
        <v>12.1</v>
      </c>
      <c r="J15" s="137">
        <v>0</v>
      </c>
      <c r="K15" s="138">
        <f t="shared" si="0"/>
        <v>12.1</v>
      </c>
      <c r="L15" s="139">
        <f t="shared" si="1"/>
        <v>145.19999999999999</v>
      </c>
      <c r="M15" s="138">
        <f t="shared" si="2"/>
        <v>118.41869999999999</v>
      </c>
    </row>
    <row r="16" spans="1:13" ht="20.100000000000001" customHeight="1" x14ac:dyDescent="0.35">
      <c r="A16" s="40" t="s">
        <v>118</v>
      </c>
      <c r="B16" s="58">
        <v>6</v>
      </c>
      <c r="C16" s="58" t="s">
        <v>67</v>
      </c>
      <c r="D16" s="58" t="s">
        <v>1</v>
      </c>
      <c r="E16" s="64" t="s">
        <v>119</v>
      </c>
      <c r="F16" s="66" t="s">
        <v>120</v>
      </c>
      <c r="G16" s="145">
        <v>17.15175</v>
      </c>
      <c r="H16" s="146">
        <v>238.79999999999998</v>
      </c>
      <c r="I16" s="147">
        <v>39.799999999999997</v>
      </c>
      <c r="J16" s="137">
        <v>0</v>
      </c>
      <c r="K16" s="138">
        <f t="shared" si="0"/>
        <v>39.799999999999997</v>
      </c>
      <c r="L16" s="139">
        <f t="shared" si="1"/>
        <v>238.79999999999998</v>
      </c>
      <c r="M16" s="138">
        <f t="shared" si="2"/>
        <v>221.64824999999999</v>
      </c>
    </row>
    <row r="17" spans="1:13" ht="20.100000000000001" customHeight="1" x14ac:dyDescent="0.35">
      <c r="A17" s="40">
        <v>1969</v>
      </c>
      <c r="B17" s="58">
        <v>24</v>
      </c>
      <c r="C17" s="58" t="s">
        <v>66</v>
      </c>
      <c r="D17" s="58" t="s">
        <v>121</v>
      </c>
      <c r="E17" s="64" t="s">
        <v>122</v>
      </c>
      <c r="F17" s="66" t="s">
        <v>123</v>
      </c>
      <c r="G17" s="145">
        <v>13.390649999999999</v>
      </c>
      <c r="H17" s="146">
        <v>52.800000000000004</v>
      </c>
      <c r="I17" s="147">
        <v>2.2000000000000002</v>
      </c>
      <c r="J17" s="137">
        <v>0</v>
      </c>
      <c r="K17" s="138">
        <f t="shared" si="0"/>
        <v>2.2000000000000002</v>
      </c>
      <c r="L17" s="139">
        <f t="shared" si="1"/>
        <v>52.800000000000004</v>
      </c>
      <c r="M17" s="138">
        <f t="shared" si="2"/>
        <v>39.409350000000003</v>
      </c>
    </row>
    <row r="18" spans="1:13" ht="20.100000000000001" customHeight="1" x14ac:dyDescent="0.35">
      <c r="A18" s="40">
        <v>1971</v>
      </c>
      <c r="B18" s="58">
        <v>24</v>
      </c>
      <c r="C18" s="58" t="s">
        <v>64</v>
      </c>
      <c r="D18" s="58" t="s">
        <v>121</v>
      </c>
      <c r="E18" s="64" t="s">
        <v>122</v>
      </c>
      <c r="F18" s="66" t="s">
        <v>124</v>
      </c>
      <c r="G18" s="145">
        <v>13.390649999999999</v>
      </c>
      <c r="H18" s="146">
        <v>52.800000000000004</v>
      </c>
      <c r="I18" s="147">
        <v>2.2000000000000002</v>
      </c>
      <c r="J18" s="137">
        <v>0</v>
      </c>
      <c r="K18" s="138">
        <f t="shared" si="0"/>
        <v>2.2000000000000002</v>
      </c>
      <c r="L18" s="139">
        <f t="shared" si="1"/>
        <v>52.800000000000004</v>
      </c>
      <c r="M18" s="138">
        <f t="shared" si="2"/>
        <v>39.409350000000003</v>
      </c>
    </row>
    <row r="19" spans="1:13" ht="20.100000000000001" customHeight="1" x14ac:dyDescent="0.35">
      <c r="A19" s="40">
        <v>1975</v>
      </c>
      <c r="B19" s="58">
        <v>24</v>
      </c>
      <c r="C19" s="58" t="s">
        <v>65</v>
      </c>
      <c r="D19" s="58" t="s">
        <v>121</v>
      </c>
      <c r="E19" s="64" t="s">
        <v>122</v>
      </c>
      <c r="F19" s="66" t="s">
        <v>125</v>
      </c>
      <c r="G19" s="145">
        <v>13.390649999999999</v>
      </c>
      <c r="H19" s="146">
        <v>52.800000000000004</v>
      </c>
      <c r="I19" s="147">
        <v>2.2000000000000002</v>
      </c>
      <c r="J19" s="137">
        <v>0</v>
      </c>
      <c r="K19" s="138">
        <f t="shared" si="0"/>
        <v>2.2000000000000002</v>
      </c>
      <c r="L19" s="139">
        <f t="shared" si="1"/>
        <v>52.800000000000004</v>
      </c>
      <c r="M19" s="138">
        <f t="shared" si="2"/>
        <v>39.409350000000003</v>
      </c>
    </row>
    <row r="20" spans="1:13" ht="20.100000000000001" customHeight="1" x14ac:dyDescent="0.35">
      <c r="A20" s="40">
        <v>1976</v>
      </c>
      <c r="B20" s="58">
        <v>24</v>
      </c>
      <c r="C20" s="58" t="s">
        <v>64</v>
      </c>
      <c r="D20" s="58" t="s">
        <v>121</v>
      </c>
      <c r="E20" s="64" t="s">
        <v>122</v>
      </c>
      <c r="F20" s="66" t="s">
        <v>126</v>
      </c>
      <c r="G20" s="145">
        <v>13.390649999999999</v>
      </c>
      <c r="H20" s="146">
        <v>52.800000000000004</v>
      </c>
      <c r="I20" s="147">
        <v>2.2000000000000002</v>
      </c>
      <c r="J20" s="137">
        <v>0</v>
      </c>
      <c r="K20" s="138">
        <f t="shared" si="0"/>
        <v>2.2000000000000002</v>
      </c>
      <c r="L20" s="139">
        <f t="shared" si="1"/>
        <v>52.800000000000004</v>
      </c>
      <c r="M20" s="138">
        <f t="shared" si="2"/>
        <v>39.409350000000003</v>
      </c>
    </row>
    <row r="21" spans="1:13" ht="20.100000000000001" customHeight="1" x14ac:dyDescent="0.35">
      <c r="A21" s="40">
        <v>1977</v>
      </c>
      <c r="B21" s="58">
        <v>24</v>
      </c>
      <c r="C21" s="58" t="s">
        <v>65</v>
      </c>
      <c r="D21" s="58" t="s">
        <v>127</v>
      </c>
      <c r="E21" s="64" t="s">
        <v>128</v>
      </c>
      <c r="F21" s="66" t="s">
        <v>129</v>
      </c>
      <c r="G21" s="145">
        <v>13.390649999999999</v>
      </c>
      <c r="H21" s="146">
        <v>52.800000000000004</v>
      </c>
      <c r="I21" s="147">
        <v>2.2000000000000002</v>
      </c>
      <c r="J21" s="137">
        <v>0</v>
      </c>
      <c r="K21" s="138">
        <f t="shared" si="0"/>
        <v>2.2000000000000002</v>
      </c>
      <c r="L21" s="139">
        <f t="shared" si="1"/>
        <v>52.800000000000004</v>
      </c>
      <c r="M21" s="138">
        <f t="shared" si="2"/>
        <v>39.409350000000003</v>
      </c>
    </row>
    <row r="22" spans="1:13" ht="20.100000000000001" customHeight="1" x14ac:dyDescent="0.35">
      <c r="A22" s="40" t="s">
        <v>130</v>
      </c>
      <c r="B22" s="58">
        <v>6</v>
      </c>
      <c r="C22" s="58" t="s">
        <v>64</v>
      </c>
      <c r="D22" s="58" t="s">
        <v>2</v>
      </c>
      <c r="E22" s="64" t="s">
        <v>21</v>
      </c>
      <c r="F22" s="66" t="s">
        <v>131</v>
      </c>
      <c r="G22" s="145">
        <v>13.390649999999999</v>
      </c>
      <c r="H22" s="146">
        <v>82.199999999999989</v>
      </c>
      <c r="I22" s="147">
        <v>13.7</v>
      </c>
      <c r="J22" s="137">
        <v>0</v>
      </c>
      <c r="K22" s="138">
        <f t="shared" si="0"/>
        <v>13.7</v>
      </c>
      <c r="L22" s="139">
        <f t="shared" si="1"/>
        <v>82.199999999999989</v>
      </c>
      <c r="M22" s="138">
        <f t="shared" si="2"/>
        <v>68.809349999999995</v>
      </c>
    </row>
    <row r="23" spans="1:13" ht="20.100000000000001" customHeight="1" x14ac:dyDescent="0.35">
      <c r="A23" s="40">
        <v>1888</v>
      </c>
      <c r="B23" s="58">
        <v>6</v>
      </c>
      <c r="C23" s="58" t="s">
        <v>67</v>
      </c>
      <c r="D23" s="58" t="s">
        <v>2</v>
      </c>
      <c r="E23" s="64" t="s">
        <v>21</v>
      </c>
      <c r="F23" s="66" t="s">
        <v>132</v>
      </c>
      <c r="G23" s="145">
        <v>17.15175</v>
      </c>
      <c r="H23" s="146">
        <v>136.19999999999999</v>
      </c>
      <c r="I23" s="147">
        <v>22.7</v>
      </c>
      <c r="J23" s="137">
        <v>0</v>
      </c>
      <c r="K23" s="138">
        <f t="shared" si="0"/>
        <v>22.7</v>
      </c>
      <c r="L23" s="139">
        <f t="shared" si="1"/>
        <v>136.19999999999999</v>
      </c>
      <c r="M23" s="138">
        <f t="shared" si="2"/>
        <v>119.04825</v>
      </c>
    </row>
    <row r="24" spans="1:13" ht="20.100000000000001" customHeight="1" x14ac:dyDescent="0.35">
      <c r="A24" s="40">
        <v>2346</v>
      </c>
      <c r="B24" s="58">
        <v>6</v>
      </c>
      <c r="C24" s="58" t="s">
        <v>65</v>
      </c>
      <c r="D24" s="58" t="s">
        <v>1</v>
      </c>
      <c r="E24" s="64" t="s">
        <v>110</v>
      </c>
      <c r="F24" s="66" t="s">
        <v>133</v>
      </c>
      <c r="G24" s="145">
        <v>13.390649999999999</v>
      </c>
      <c r="H24" s="146">
        <v>264.60000000000002</v>
      </c>
      <c r="I24" s="147">
        <v>44.1</v>
      </c>
      <c r="J24" s="137">
        <v>0</v>
      </c>
      <c r="K24" s="138">
        <f t="shared" si="0"/>
        <v>44.1</v>
      </c>
      <c r="L24" s="139">
        <f t="shared" si="1"/>
        <v>264.60000000000002</v>
      </c>
      <c r="M24" s="138">
        <f t="shared" si="2"/>
        <v>251.20935000000003</v>
      </c>
    </row>
    <row r="25" spans="1:13" ht="20.100000000000001" customHeight="1" x14ac:dyDescent="0.35">
      <c r="A25" s="40">
        <v>2031</v>
      </c>
      <c r="B25" s="58">
        <v>6</v>
      </c>
      <c r="C25" s="58" t="s">
        <v>64</v>
      </c>
      <c r="D25" s="58" t="s">
        <v>1</v>
      </c>
      <c r="E25" s="64" t="s">
        <v>134</v>
      </c>
      <c r="F25" s="66" t="s">
        <v>135</v>
      </c>
      <c r="G25" s="145">
        <v>13.390649999999999</v>
      </c>
      <c r="H25" s="146">
        <v>40.200000000000003</v>
      </c>
      <c r="I25" s="147">
        <v>6.7</v>
      </c>
      <c r="J25" s="137">
        <v>0</v>
      </c>
      <c r="K25" s="138">
        <f t="shared" si="0"/>
        <v>6.7</v>
      </c>
      <c r="L25" s="139">
        <f t="shared" si="1"/>
        <v>40.200000000000003</v>
      </c>
      <c r="M25" s="138">
        <f t="shared" si="2"/>
        <v>26.809350000000002</v>
      </c>
    </row>
    <row r="26" spans="1:13" ht="20.100000000000001" customHeight="1" x14ac:dyDescent="0.35">
      <c r="A26" s="40">
        <v>2032</v>
      </c>
      <c r="B26" s="58">
        <v>6</v>
      </c>
      <c r="C26" s="58" t="s">
        <v>65</v>
      </c>
      <c r="D26" s="58" t="s">
        <v>1</v>
      </c>
      <c r="E26" s="64" t="s">
        <v>136</v>
      </c>
      <c r="F26" s="66" t="s">
        <v>137</v>
      </c>
      <c r="G26" s="145">
        <v>13.390649999999999</v>
      </c>
      <c r="H26" s="146">
        <v>40.200000000000003</v>
      </c>
      <c r="I26" s="147">
        <v>6.7</v>
      </c>
      <c r="J26" s="137">
        <v>0</v>
      </c>
      <c r="K26" s="138">
        <f t="shared" si="0"/>
        <v>6.7</v>
      </c>
      <c r="L26" s="139">
        <f t="shared" si="1"/>
        <v>40.200000000000003</v>
      </c>
      <c r="M26" s="138">
        <f t="shared" si="2"/>
        <v>26.809350000000002</v>
      </c>
    </row>
    <row r="27" spans="1:13" ht="20.100000000000001" customHeight="1" x14ac:dyDescent="0.35">
      <c r="A27" s="40">
        <v>1910</v>
      </c>
      <c r="B27" s="58">
        <v>6</v>
      </c>
      <c r="C27" s="58" t="s">
        <v>65</v>
      </c>
      <c r="D27" s="58" t="s">
        <v>138</v>
      </c>
      <c r="E27" s="64" t="s">
        <v>139</v>
      </c>
      <c r="F27" s="66" t="s">
        <v>140</v>
      </c>
      <c r="G27" s="145">
        <v>13.390649999999999</v>
      </c>
      <c r="H27" s="146">
        <v>44.400000000000006</v>
      </c>
      <c r="I27" s="147">
        <v>7.4</v>
      </c>
      <c r="J27" s="137">
        <v>0</v>
      </c>
      <c r="K27" s="138">
        <f t="shared" si="0"/>
        <v>7.4</v>
      </c>
      <c r="L27" s="139">
        <f t="shared" si="1"/>
        <v>44.400000000000006</v>
      </c>
      <c r="M27" s="138">
        <f t="shared" si="2"/>
        <v>31.009350000000005</v>
      </c>
    </row>
    <row r="28" spans="1:13" ht="20.100000000000001" customHeight="1" x14ac:dyDescent="0.35">
      <c r="A28" s="40">
        <v>2033</v>
      </c>
      <c r="B28" s="58">
        <v>6</v>
      </c>
      <c r="C28" s="58" t="s">
        <v>65</v>
      </c>
      <c r="D28" s="58" t="s">
        <v>1</v>
      </c>
      <c r="E28" s="64" t="s">
        <v>44</v>
      </c>
      <c r="F28" s="66" t="s">
        <v>141</v>
      </c>
      <c r="G28" s="145">
        <v>13.390649999999999</v>
      </c>
      <c r="H28" s="146">
        <v>45.599999999999994</v>
      </c>
      <c r="I28" s="147">
        <v>7.6</v>
      </c>
      <c r="J28" s="137">
        <v>0</v>
      </c>
      <c r="K28" s="138">
        <f t="shared" si="0"/>
        <v>7.6</v>
      </c>
      <c r="L28" s="139">
        <f t="shared" si="1"/>
        <v>45.599999999999994</v>
      </c>
      <c r="M28" s="138">
        <f t="shared" si="2"/>
        <v>32.209349999999993</v>
      </c>
    </row>
    <row r="29" spans="1:13" ht="20.100000000000001" customHeight="1" x14ac:dyDescent="0.35">
      <c r="A29" s="40">
        <v>3346</v>
      </c>
      <c r="B29" s="58">
        <v>6</v>
      </c>
      <c r="C29" s="58" t="s">
        <v>65</v>
      </c>
      <c r="D29" s="58" t="s">
        <v>121</v>
      </c>
      <c r="E29" s="64" t="s">
        <v>122</v>
      </c>
      <c r="F29" s="66" t="s">
        <v>142</v>
      </c>
      <c r="G29" s="145">
        <v>13.390649999999999</v>
      </c>
      <c r="H29" s="146">
        <v>45</v>
      </c>
      <c r="I29" s="147">
        <v>7.5</v>
      </c>
      <c r="J29" s="137">
        <v>0</v>
      </c>
      <c r="K29" s="138">
        <f t="shared" si="0"/>
        <v>7.5</v>
      </c>
      <c r="L29" s="139">
        <f t="shared" si="1"/>
        <v>45</v>
      </c>
      <c r="M29" s="138">
        <f t="shared" si="2"/>
        <v>31.609349999999999</v>
      </c>
    </row>
    <row r="30" spans="1:13" ht="20.100000000000001" customHeight="1" x14ac:dyDescent="0.35">
      <c r="A30" s="40">
        <v>2603</v>
      </c>
      <c r="B30" s="58">
        <v>6</v>
      </c>
      <c r="C30" s="58" t="s">
        <v>65</v>
      </c>
      <c r="D30" s="58" t="s">
        <v>1</v>
      </c>
      <c r="E30" s="64" t="s">
        <v>143</v>
      </c>
      <c r="F30" s="66" t="s">
        <v>144</v>
      </c>
      <c r="G30" s="145">
        <v>13.390649999999999</v>
      </c>
      <c r="H30" s="146">
        <v>59.400000000000006</v>
      </c>
      <c r="I30" s="147">
        <v>9.9</v>
      </c>
      <c r="J30" s="137">
        <v>0</v>
      </c>
      <c r="K30" s="138">
        <f t="shared" si="0"/>
        <v>9.9</v>
      </c>
      <c r="L30" s="139">
        <f t="shared" si="1"/>
        <v>59.400000000000006</v>
      </c>
      <c r="M30" s="138">
        <f t="shared" si="2"/>
        <v>46.009350000000005</v>
      </c>
    </row>
    <row r="31" spans="1:13" ht="20.100000000000001" customHeight="1" x14ac:dyDescent="0.35">
      <c r="A31" s="40">
        <v>2353</v>
      </c>
      <c r="B31" s="58">
        <v>6</v>
      </c>
      <c r="C31" s="58" t="s">
        <v>65</v>
      </c>
      <c r="D31" s="58" t="s">
        <v>1</v>
      </c>
      <c r="E31" s="64" t="s">
        <v>110</v>
      </c>
      <c r="F31" s="66" t="s">
        <v>145</v>
      </c>
      <c r="G31" s="145">
        <v>13.390649999999999</v>
      </c>
      <c r="H31" s="146">
        <v>252.60000000000002</v>
      </c>
      <c r="I31" s="147">
        <v>42.1</v>
      </c>
      <c r="J31" s="137">
        <v>0</v>
      </c>
      <c r="K31" s="138">
        <f t="shared" si="0"/>
        <v>42.1</v>
      </c>
      <c r="L31" s="139">
        <f t="shared" si="1"/>
        <v>252.60000000000002</v>
      </c>
      <c r="M31" s="138">
        <f t="shared" si="2"/>
        <v>239.20935000000003</v>
      </c>
    </row>
    <row r="32" spans="1:13" ht="20.100000000000001" customHeight="1" x14ac:dyDescent="0.35">
      <c r="A32" s="40">
        <v>3347</v>
      </c>
      <c r="B32" s="58">
        <v>6</v>
      </c>
      <c r="C32" s="58" t="s">
        <v>64</v>
      </c>
      <c r="D32" s="58" t="s">
        <v>121</v>
      </c>
      <c r="E32" s="64" t="s">
        <v>122</v>
      </c>
      <c r="F32" s="66" t="s">
        <v>146</v>
      </c>
      <c r="G32" s="145">
        <v>13.390649999999999</v>
      </c>
      <c r="H32" s="146">
        <v>46.2</v>
      </c>
      <c r="I32" s="147">
        <v>7.7</v>
      </c>
      <c r="J32" s="137">
        <v>0</v>
      </c>
      <c r="K32" s="138">
        <f t="shared" si="0"/>
        <v>7.7</v>
      </c>
      <c r="L32" s="139">
        <f t="shared" si="1"/>
        <v>46.2</v>
      </c>
      <c r="M32" s="138">
        <f t="shared" si="2"/>
        <v>32.809350000000002</v>
      </c>
    </row>
    <row r="33" spans="1:13" ht="20.100000000000001" customHeight="1" x14ac:dyDescent="0.35">
      <c r="A33" s="40">
        <v>1854</v>
      </c>
      <c r="B33" s="58">
        <v>6</v>
      </c>
      <c r="C33" s="58" t="s">
        <v>67</v>
      </c>
      <c r="D33" s="58" t="s">
        <v>1</v>
      </c>
      <c r="E33" s="64" t="s">
        <v>119</v>
      </c>
      <c r="F33" s="66" t="s">
        <v>147</v>
      </c>
      <c r="G33" s="145">
        <v>17.15175</v>
      </c>
      <c r="H33" s="146">
        <v>194.39999999999998</v>
      </c>
      <c r="I33" s="147">
        <v>32.4</v>
      </c>
      <c r="J33" s="137">
        <v>0</v>
      </c>
      <c r="K33" s="138">
        <f t="shared" si="0"/>
        <v>32.4</v>
      </c>
      <c r="L33" s="139">
        <f t="shared" si="1"/>
        <v>194.39999999999998</v>
      </c>
      <c r="M33" s="138">
        <f t="shared" si="2"/>
        <v>177.24824999999998</v>
      </c>
    </row>
    <row r="34" spans="1:13" ht="20.100000000000001" customHeight="1" x14ac:dyDescent="0.35">
      <c r="A34" s="40">
        <v>3548</v>
      </c>
      <c r="B34" s="58">
        <v>6</v>
      </c>
      <c r="C34" s="58" t="s">
        <v>64</v>
      </c>
      <c r="D34" s="58" t="s">
        <v>2</v>
      </c>
      <c r="E34" s="64" t="s">
        <v>148</v>
      </c>
      <c r="F34" s="66" t="s">
        <v>149</v>
      </c>
      <c r="G34" s="145">
        <v>13.390649999999999</v>
      </c>
      <c r="H34" s="146">
        <v>57.599999999999994</v>
      </c>
      <c r="I34" s="147">
        <v>9.6</v>
      </c>
      <c r="J34" s="137">
        <v>0</v>
      </c>
      <c r="K34" s="138">
        <f t="shared" si="0"/>
        <v>9.6</v>
      </c>
      <c r="L34" s="139">
        <f t="shared" si="1"/>
        <v>57.599999999999994</v>
      </c>
      <c r="M34" s="138">
        <f t="shared" si="2"/>
        <v>44.209349999999993</v>
      </c>
    </row>
    <row r="35" spans="1:13" ht="20.100000000000001" customHeight="1" x14ac:dyDescent="0.35">
      <c r="A35" s="40">
        <v>2391</v>
      </c>
      <c r="B35" s="58">
        <v>6</v>
      </c>
      <c r="C35" s="58" t="s">
        <v>65</v>
      </c>
      <c r="D35" s="58" t="s">
        <v>1</v>
      </c>
      <c r="E35" s="64" t="s">
        <v>110</v>
      </c>
      <c r="F35" s="66" t="s">
        <v>150</v>
      </c>
      <c r="G35" s="145">
        <v>13.390649999999999</v>
      </c>
      <c r="H35" s="146">
        <v>91.800000000000011</v>
      </c>
      <c r="I35" s="147">
        <v>15.3</v>
      </c>
      <c r="J35" s="137">
        <v>0</v>
      </c>
      <c r="K35" s="138">
        <f t="shared" si="0"/>
        <v>15.3</v>
      </c>
      <c r="L35" s="139">
        <f t="shared" si="1"/>
        <v>91.800000000000011</v>
      </c>
      <c r="M35" s="138">
        <f t="shared" si="2"/>
        <v>78.409350000000018</v>
      </c>
    </row>
    <row r="36" spans="1:13" ht="20.100000000000001" customHeight="1" x14ac:dyDescent="0.35">
      <c r="A36" s="40" t="s">
        <v>151</v>
      </c>
      <c r="B36" s="58">
        <v>6</v>
      </c>
      <c r="C36" s="58" t="s">
        <v>64</v>
      </c>
      <c r="D36" s="58" t="s">
        <v>2</v>
      </c>
      <c r="E36" s="64" t="s">
        <v>21</v>
      </c>
      <c r="F36" s="66" t="s">
        <v>152</v>
      </c>
      <c r="G36" s="145">
        <v>13.390649999999999</v>
      </c>
      <c r="H36" s="146">
        <v>70.800000000000011</v>
      </c>
      <c r="I36" s="147">
        <v>11.8</v>
      </c>
      <c r="J36" s="137">
        <v>0</v>
      </c>
      <c r="K36" s="138">
        <f t="shared" si="0"/>
        <v>11.8</v>
      </c>
      <c r="L36" s="139">
        <f t="shared" si="1"/>
        <v>70.800000000000011</v>
      </c>
      <c r="M36" s="138">
        <f t="shared" si="2"/>
        <v>57.409350000000011</v>
      </c>
    </row>
    <row r="37" spans="1:13" ht="20.100000000000001" customHeight="1" x14ac:dyDescent="0.35">
      <c r="A37" s="40">
        <v>2606</v>
      </c>
      <c r="B37" s="58">
        <v>6</v>
      </c>
      <c r="C37" s="58" t="s">
        <v>65</v>
      </c>
      <c r="D37" s="58" t="s">
        <v>1</v>
      </c>
      <c r="E37" s="64" t="s">
        <v>143</v>
      </c>
      <c r="F37" s="66" t="s">
        <v>153</v>
      </c>
      <c r="G37" s="145">
        <v>13.390649999999999</v>
      </c>
      <c r="H37" s="146">
        <v>53.400000000000006</v>
      </c>
      <c r="I37" s="147">
        <v>8.9</v>
      </c>
      <c r="J37" s="137">
        <v>0</v>
      </c>
      <c r="K37" s="138">
        <f t="shared" si="0"/>
        <v>8.9</v>
      </c>
      <c r="L37" s="139">
        <f t="shared" si="1"/>
        <v>53.400000000000006</v>
      </c>
      <c r="M37" s="138">
        <f t="shared" si="2"/>
        <v>40.009350000000005</v>
      </c>
    </row>
    <row r="38" spans="1:13" ht="20.100000000000001" customHeight="1" x14ac:dyDescent="0.35">
      <c r="A38" s="40">
        <v>2729</v>
      </c>
      <c r="B38" s="58">
        <v>6</v>
      </c>
      <c r="C38" s="58" t="s">
        <v>64</v>
      </c>
      <c r="D38" s="58" t="s">
        <v>1</v>
      </c>
      <c r="E38" s="64" t="s">
        <v>154</v>
      </c>
      <c r="F38" s="66" t="s">
        <v>155</v>
      </c>
      <c r="G38" s="145">
        <v>13.390649999999999</v>
      </c>
      <c r="H38" s="146">
        <v>56.400000000000006</v>
      </c>
      <c r="I38" s="147">
        <v>9.4</v>
      </c>
      <c r="J38" s="137">
        <v>0</v>
      </c>
      <c r="K38" s="138">
        <f t="shared" si="0"/>
        <v>9.4</v>
      </c>
      <c r="L38" s="139">
        <f t="shared" si="1"/>
        <v>56.400000000000006</v>
      </c>
      <c r="M38" s="138">
        <f t="shared" si="2"/>
        <v>43.009350000000005</v>
      </c>
    </row>
    <row r="39" spans="1:13" ht="20.100000000000001" customHeight="1" x14ac:dyDescent="0.35">
      <c r="A39" s="40" t="s">
        <v>156</v>
      </c>
      <c r="B39" s="58">
        <v>6</v>
      </c>
      <c r="C39" s="58" t="s">
        <v>65</v>
      </c>
      <c r="D39" s="58" t="s">
        <v>2</v>
      </c>
      <c r="E39" s="64" t="s">
        <v>21</v>
      </c>
      <c r="F39" s="66" t="s">
        <v>157</v>
      </c>
      <c r="G39" s="145">
        <v>13.390649999999999</v>
      </c>
      <c r="H39" s="146">
        <v>80.400000000000006</v>
      </c>
      <c r="I39" s="147">
        <v>13.4</v>
      </c>
      <c r="J39" s="137">
        <v>0</v>
      </c>
      <c r="K39" s="138">
        <f t="shared" si="0"/>
        <v>13.4</v>
      </c>
      <c r="L39" s="139">
        <f t="shared" si="1"/>
        <v>80.400000000000006</v>
      </c>
      <c r="M39" s="138">
        <f t="shared" si="2"/>
        <v>67.009350000000012</v>
      </c>
    </row>
    <row r="40" spans="1:13" ht="20.100000000000001" customHeight="1" x14ac:dyDescent="0.35">
      <c r="A40" s="40">
        <v>1890</v>
      </c>
      <c r="B40" s="58">
        <v>6</v>
      </c>
      <c r="C40" s="58" t="s">
        <v>67</v>
      </c>
      <c r="D40" s="58" t="s">
        <v>2</v>
      </c>
      <c r="E40" s="64" t="s">
        <v>21</v>
      </c>
      <c r="F40" s="66" t="s">
        <v>22</v>
      </c>
      <c r="G40" s="145">
        <v>17.15175</v>
      </c>
      <c r="H40" s="146">
        <v>68.400000000000006</v>
      </c>
      <c r="I40" s="147">
        <v>11.4</v>
      </c>
      <c r="J40" s="137">
        <v>0</v>
      </c>
      <c r="K40" s="138">
        <f t="shared" si="0"/>
        <v>11.4</v>
      </c>
      <c r="L40" s="139">
        <f t="shared" si="1"/>
        <v>68.400000000000006</v>
      </c>
      <c r="M40" s="138">
        <f t="shared" si="2"/>
        <v>51.248250000000006</v>
      </c>
    </row>
    <row r="41" spans="1:13" ht="20.100000000000001" customHeight="1" x14ac:dyDescent="0.35">
      <c r="A41" s="40">
        <v>2118</v>
      </c>
      <c r="B41" s="58">
        <v>12</v>
      </c>
      <c r="C41" s="58" t="s">
        <v>66</v>
      </c>
      <c r="D41" s="58" t="s">
        <v>1</v>
      </c>
      <c r="E41" s="64" t="s">
        <v>104</v>
      </c>
      <c r="F41" s="66" t="s">
        <v>158</v>
      </c>
      <c r="G41" s="145">
        <v>26.781299999999998</v>
      </c>
      <c r="H41" s="146">
        <v>160.80000000000001</v>
      </c>
      <c r="I41" s="147">
        <v>13.4</v>
      </c>
      <c r="J41" s="137">
        <v>0</v>
      </c>
      <c r="K41" s="138">
        <f t="shared" si="0"/>
        <v>13.4</v>
      </c>
      <c r="L41" s="139">
        <f t="shared" si="1"/>
        <v>160.80000000000001</v>
      </c>
      <c r="M41" s="138">
        <f t="shared" si="2"/>
        <v>134.01870000000002</v>
      </c>
    </row>
    <row r="42" spans="1:13" ht="20.100000000000001" customHeight="1" x14ac:dyDescent="0.35">
      <c r="A42" s="40" t="s">
        <v>159</v>
      </c>
      <c r="B42" s="58">
        <v>6</v>
      </c>
      <c r="C42" s="58" t="s">
        <v>65</v>
      </c>
      <c r="D42" s="58" t="s">
        <v>2</v>
      </c>
      <c r="E42" s="64" t="s">
        <v>21</v>
      </c>
      <c r="F42" s="66" t="s">
        <v>160</v>
      </c>
      <c r="G42" s="145">
        <v>13.390649999999999</v>
      </c>
      <c r="H42" s="146">
        <v>60.599999999999994</v>
      </c>
      <c r="I42" s="147">
        <v>10.1</v>
      </c>
      <c r="J42" s="137">
        <v>0</v>
      </c>
      <c r="K42" s="138">
        <f t="shared" si="0"/>
        <v>10.1</v>
      </c>
      <c r="L42" s="139">
        <f t="shared" si="1"/>
        <v>60.599999999999994</v>
      </c>
      <c r="M42" s="138">
        <f t="shared" si="2"/>
        <v>47.209349999999993</v>
      </c>
    </row>
    <row r="43" spans="1:13" ht="20.100000000000001" customHeight="1" x14ac:dyDescent="0.35">
      <c r="A43" s="40">
        <v>2067</v>
      </c>
      <c r="B43" s="58">
        <v>6</v>
      </c>
      <c r="C43" s="58" t="s">
        <v>65</v>
      </c>
      <c r="D43" s="58" t="s">
        <v>1</v>
      </c>
      <c r="E43" s="64" t="s">
        <v>44</v>
      </c>
      <c r="F43" s="66" t="s">
        <v>161</v>
      </c>
      <c r="G43" s="145">
        <v>13.390649999999999</v>
      </c>
      <c r="H43" s="146">
        <v>57</v>
      </c>
      <c r="I43" s="147">
        <v>9.5</v>
      </c>
      <c r="J43" s="137">
        <v>0</v>
      </c>
      <c r="K43" s="138">
        <f t="shared" si="0"/>
        <v>9.5</v>
      </c>
      <c r="L43" s="139">
        <f t="shared" si="1"/>
        <v>57</v>
      </c>
      <c r="M43" s="138">
        <f t="shared" si="2"/>
        <v>43.609349999999999</v>
      </c>
    </row>
    <row r="44" spans="1:13" ht="20.100000000000001" customHeight="1" x14ac:dyDescent="0.35">
      <c r="A44" s="40">
        <v>2390</v>
      </c>
      <c r="B44" s="58">
        <v>6</v>
      </c>
      <c r="C44" s="58" t="s">
        <v>65</v>
      </c>
      <c r="D44" s="58" t="s">
        <v>1</v>
      </c>
      <c r="E44" s="64" t="s">
        <v>110</v>
      </c>
      <c r="F44" s="66" t="s">
        <v>162</v>
      </c>
      <c r="G44" s="145">
        <v>13.390649999999999</v>
      </c>
      <c r="H44" s="146">
        <v>78.599999999999994</v>
      </c>
      <c r="I44" s="147">
        <v>13.1</v>
      </c>
      <c r="J44" s="137">
        <v>0</v>
      </c>
      <c r="K44" s="138">
        <f t="shared" si="0"/>
        <v>13.1</v>
      </c>
      <c r="L44" s="139">
        <f t="shared" si="1"/>
        <v>78.599999999999994</v>
      </c>
      <c r="M44" s="138">
        <f t="shared" si="2"/>
        <v>65.209350000000001</v>
      </c>
    </row>
    <row r="45" spans="1:13" ht="20.100000000000001" customHeight="1" x14ac:dyDescent="0.35">
      <c r="A45" s="40">
        <v>2212</v>
      </c>
      <c r="B45" s="58">
        <v>12</v>
      </c>
      <c r="C45" s="58" t="s">
        <v>64</v>
      </c>
      <c r="D45" s="58" t="s">
        <v>1</v>
      </c>
      <c r="E45" s="64" t="s">
        <v>163</v>
      </c>
      <c r="F45" s="66" t="s">
        <v>164</v>
      </c>
      <c r="G45" s="145">
        <v>26.781299999999998</v>
      </c>
      <c r="H45" s="146">
        <v>103.19999999999999</v>
      </c>
      <c r="I45" s="147">
        <v>8.6</v>
      </c>
      <c r="J45" s="137">
        <v>0</v>
      </c>
      <c r="K45" s="138">
        <f t="shared" si="0"/>
        <v>8.6</v>
      </c>
      <c r="L45" s="139">
        <f t="shared" si="1"/>
        <v>103.19999999999999</v>
      </c>
      <c r="M45" s="138">
        <f t="shared" si="2"/>
        <v>76.418699999999987</v>
      </c>
    </row>
    <row r="46" spans="1:13" ht="20.100000000000001" customHeight="1" x14ac:dyDescent="0.35">
      <c r="A46" s="40">
        <v>2065</v>
      </c>
      <c r="B46" s="58">
        <v>6</v>
      </c>
      <c r="C46" s="58" t="s">
        <v>65</v>
      </c>
      <c r="D46" s="58" t="s">
        <v>1</v>
      </c>
      <c r="E46" s="64" t="s">
        <v>44</v>
      </c>
      <c r="F46" s="66" t="s">
        <v>165</v>
      </c>
      <c r="G46" s="145">
        <v>13.390649999999999</v>
      </c>
      <c r="H46" s="146">
        <v>54.599999999999994</v>
      </c>
      <c r="I46" s="147">
        <v>9.1</v>
      </c>
      <c r="J46" s="137">
        <v>0</v>
      </c>
      <c r="K46" s="138">
        <f t="shared" si="0"/>
        <v>9.1</v>
      </c>
      <c r="L46" s="139">
        <f t="shared" si="1"/>
        <v>54.599999999999994</v>
      </c>
      <c r="M46" s="138">
        <f t="shared" si="2"/>
        <v>41.209349999999993</v>
      </c>
    </row>
    <row r="47" spans="1:13" ht="20.100000000000001" customHeight="1" x14ac:dyDescent="0.35">
      <c r="A47" s="40">
        <v>2066</v>
      </c>
      <c r="B47" s="58">
        <v>6</v>
      </c>
      <c r="C47" s="58" t="s">
        <v>64</v>
      </c>
      <c r="D47" s="58" t="s">
        <v>1</v>
      </c>
      <c r="E47" s="64" t="s">
        <v>44</v>
      </c>
      <c r="F47" s="66" t="s">
        <v>166</v>
      </c>
      <c r="G47" s="145">
        <v>13.390649999999999</v>
      </c>
      <c r="H47" s="146">
        <v>54.599999999999994</v>
      </c>
      <c r="I47" s="147">
        <v>9.1</v>
      </c>
      <c r="J47" s="137">
        <v>0</v>
      </c>
      <c r="K47" s="138">
        <f t="shared" si="0"/>
        <v>9.1</v>
      </c>
      <c r="L47" s="139">
        <f t="shared" si="1"/>
        <v>54.599999999999994</v>
      </c>
      <c r="M47" s="138">
        <f t="shared" si="2"/>
        <v>41.209349999999993</v>
      </c>
    </row>
    <row r="48" spans="1:13" ht="20.100000000000001" customHeight="1" x14ac:dyDescent="0.35">
      <c r="A48" s="40">
        <v>1893</v>
      </c>
      <c r="B48" s="58">
        <v>12</v>
      </c>
      <c r="C48" s="58" t="s">
        <v>67</v>
      </c>
      <c r="D48" s="58" t="s">
        <v>2</v>
      </c>
      <c r="E48" s="64" t="s">
        <v>21</v>
      </c>
      <c r="F48" s="66" t="s">
        <v>167</v>
      </c>
      <c r="G48" s="145">
        <v>17.15175</v>
      </c>
      <c r="H48" s="146">
        <v>93.6</v>
      </c>
      <c r="I48" s="147">
        <v>7.8</v>
      </c>
      <c r="J48" s="137">
        <v>0</v>
      </c>
      <c r="K48" s="138">
        <f t="shared" si="0"/>
        <v>7.8</v>
      </c>
      <c r="L48" s="139">
        <f t="shared" si="1"/>
        <v>93.6</v>
      </c>
      <c r="M48" s="138">
        <f t="shared" si="2"/>
        <v>76.448250000000002</v>
      </c>
    </row>
    <row r="49" spans="1:13" ht="20.100000000000001" customHeight="1" x14ac:dyDescent="0.35">
      <c r="A49" s="40">
        <v>2794</v>
      </c>
      <c r="B49" s="58">
        <v>6</v>
      </c>
      <c r="C49" s="58" t="s">
        <v>168</v>
      </c>
      <c r="D49" s="58" t="s">
        <v>1</v>
      </c>
      <c r="E49" s="64" t="s">
        <v>154</v>
      </c>
      <c r="F49" s="66" t="s">
        <v>169</v>
      </c>
      <c r="G49" s="145">
        <v>8.9270999999999994</v>
      </c>
      <c r="H49" s="146">
        <v>68.400000000000006</v>
      </c>
      <c r="I49" s="147">
        <v>11.4</v>
      </c>
      <c r="J49" s="137">
        <v>0</v>
      </c>
      <c r="K49" s="138">
        <f t="shared" si="0"/>
        <v>11.4</v>
      </c>
      <c r="L49" s="139">
        <f t="shared" si="1"/>
        <v>68.400000000000006</v>
      </c>
      <c r="M49" s="138">
        <f t="shared" si="2"/>
        <v>59.47290000000001</v>
      </c>
    </row>
    <row r="50" spans="1:13" ht="20.100000000000001" customHeight="1" x14ac:dyDescent="0.35">
      <c r="A50" s="40" t="s">
        <v>170</v>
      </c>
      <c r="B50" s="58">
        <v>6</v>
      </c>
      <c r="C50" s="58" t="s">
        <v>64</v>
      </c>
      <c r="D50" s="58" t="s">
        <v>1</v>
      </c>
      <c r="E50" s="64" t="s">
        <v>44</v>
      </c>
      <c r="F50" s="66" t="s">
        <v>171</v>
      </c>
      <c r="G50" s="145">
        <v>13.390649999999999</v>
      </c>
      <c r="H50" s="146">
        <v>66.599999999999994</v>
      </c>
      <c r="I50" s="147">
        <v>11.1</v>
      </c>
      <c r="J50" s="137">
        <v>0</v>
      </c>
      <c r="K50" s="138">
        <f t="shared" si="0"/>
        <v>11.1</v>
      </c>
      <c r="L50" s="139">
        <f t="shared" si="1"/>
        <v>66.599999999999994</v>
      </c>
      <c r="M50" s="138">
        <f t="shared" si="2"/>
        <v>53.209349999999993</v>
      </c>
    </row>
    <row r="51" spans="1:13" ht="20.100000000000001" customHeight="1" x14ac:dyDescent="0.35">
      <c r="A51" s="40" t="s">
        <v>172</v>
      </c>
      <c r="B51" s="58">
        <v>6</v>
      </c>
      <c r="C51" s="58" t="s">
        <v>65</v>
      </c>
      <c r="D51" s="58" t="s">
        <v>1</v>
      </c>
      <c r="E51" s="64" t="s">
        <v>110</v>
      </c>
      <c r="F51" s="66" t="s">
        <v>173</v>
      </c>
      <c r="G51" s="145">
        <v>13.390649999999999</v>
      </c>
      <c r="H51" s="146">
        <v>100.19999999999999</v>
      </c>
      <c r="I51" s="147">
        <v>16.7</v>
      </c>
      <c r="J51" s="137">
        <v>0</v>
      </c>
      <c r="K51" s="138">
        <f t="shared" si="0"/>
        <v>16.7</v>
      </c>
      <c r="L51" s="139">
        <f t="shared" si="1"/>
        <v>100.19999999999999</v>
      </c>
      <c r="M51" s="138">
        <f t="shared" si="2"/>
        <v>86.809349999999995</v>
      </c>
    </row>
    <row r="52" spans="1:13" ht="20.100000000000001" customHeight="1" x14ac:dyDescent="0.35">
      <c r="A52" s="40">
        <v>2530</v>
      </c>
      <c r="B52" s="58">
        <v>6</v>
      </c>
      <c r="C52" s="58" t="s">
        <v>65</v>
      </c>
      <c r="D52" s="58" t="s">
        <v>1</v>
      </c>
      <c r="E52" s="64" t="s">
        <v>174</v>
      </c>
      <c r="F52" s="66" t="s">
        <v>175</v>
      </c>
      <c r="G52" s="145">
        <v>13.390649999999999</v>
      </c>
      <c r="H52" s="146">
        <v>69.599999999999994</v>
      </c>
      <c r="I52" s="147">
        <v>11.6</v>
      </c>
      <c r="J52" s="137">
        <v>0</v>
      </c>
      <c r="K52" s="138">
        <f t="shared" si="0"/>
        <v>11.6</v>
      </c>
      <c r="L52" s="139">
        <f t="shared" si="1"/>
        <v>69.599999999999994</v>
      </c>
      <c r="M52" s="138">
        <f t="shared" si="2"/>
        <v>56.209349999999993</v>
      </c>
    </row>
    <row r="53" spans="1:13" ht="20.100000000000001" customHeight="1" x14ac:dyDescent="0.35">
      <c r="A53" s="40" t="s">
        <v>176</v>
      </c>
      <c r="B53" s="58">
        <v>12</v>
      </c>
      <c r="C53" s="58" t="s">
        <v>65</v>
      </c>
      <c r="D53" s="58" t="s">
        <v>4</v>
      </c>
      <c r="E53" s="64" t="s">
        <v>23</v>
      </c>
      <c r="F53" s="66" t="s">
        <v>177</v>
      </c>
      <c r="G53" s="145">
        <v>26.781299999999998</v>
      </c>
      <c r="H53" s="146">
        <v>100.80000000000001</v>
      </c>
      <c r="I53" s="147">
        <v>8.4</v>
      </c>
      <c r="J53" s="137">
        <v>0</v>
      </c>
      <c r="K53" s="138">
        <f t="shared" si="0"/>
        <v>8.4</v>
      </c>
      <c r="L53" s="139">
        <f t="shared" si="1"/>
        <v>100.80000000000001</v>
      </c>
      <c r="M53" s="138">
        <f t="shared" si="2"/>
        <v>74.01870000000001</v>
      </c>
    </row>
    <row r="54" spans="1:13" ht="20.100000000000001" customHeight="1" x14ac:dyDescent="0.35">
      <c r="A54" s="40" t="s">
        <v>178</v>
      </c>
      <c r="B54" s="58">
        <v>6</v>
      </c>
      <c r="C54" s="58" t="s">
        <v>66</v>
      </c>
      <c r="D54" s="58" t="s">
        <v>2</v>
      </c>
      <c r="E54" s="64" t="s">
        <v>21</v>
      </c>
      <c r="F54" s="66" t="s">
        <v>179</v>
      </c>
      <c r="G54" s="145">
        <v>13.390649999999999</v>
      </c>
      <c r="H54" s="146">
        <v>60.599999999999994</v>
      </c>
      <c r="I54" s="147">
        <v>10.1</v>
      </c>
      <c r="J54" s="137">
        <v>0</v>
      </c>
      <c r="K54" s="138">
        <f t="shared" si="0"/>
        <v>10.1</v>
      </c>
      <c r="L54" s="139">
        <f t="shared" si="1"/>
        <v>60.599999999999994</v>
      </c>
      <c r="M54" s="138">
        <f t="shared" si="2"/>
        <v>47.209349999999993</v>
      </c>
    </row>
    <row r="55" spans="1:13" ht="20.100000000000001" customHeight="1" x14ac:dyDescent="0.35">
      <c r="A55" s="40">
        <v>2213</v>
      </c>
      <c r="B55" s="58">
        <v>12</v>
      </c>
      <c r="C55" s="58" t="s">
        <v>64</v>
      </c>
      <c r="D55" s="58" t="s">
        <v>1</v>
      </c>
      <c r="E55" s="64" t="s">
        <v>163</v>
      </c>
      <c r="F55" s="66" t="s">
        <v>180</v>
      </c>
      <c r="G55" s="145">
        <v>26.781299999999998</v>
      </c>
      <c r="H55" s="146">
        <v>127.19999999999999</v>
      </c>
      <c r="I55" s="147">
        <v>10.6</v>
      </c>
      <c r="J55" s="137">
        <v>0</v>
      </c>
      <c r="K55" s="138">
        <f t="shared" si="0"/>
        <v>10.6</v>
      </c>
      <c r="L55" s="139">
        <f t="shared" si="1"/>
        <v>127.19999999999999</v>
      </c>
      <c r="M55" s="138">
        <f t="shared" si="2"/>
        <v>100.41869999999999</v>
      </c>
    </row>
    <row r="56" spans="1:13" ht="20.100000000000001" customHeight="1" x14ac:dyDescent="0.35">
      <c r="A56" s="40">
        <v>1891</v>
      </c>
      <c r="B56" s="58">
        <v>6</v>
      </c>
      <c r="C56" s="58" t="s">
        <v>67</v>
      </c>
      <c r="D56" s="58" t="s">
        <v>2</v>
      </c>
      <c r="E56" s="64" t="s">
        <v>21</v>
      </c>
      <c r="F56" s="66" t="s">
        <v>181</v>
      </c>
      <c r="G56" s="145">
        <v>17.15175</v>
      </c>
      <c r="H56" s="146">
        <v>73.199999999999989</v>
      </c>
      <c r="I56" s="147">
        <v>12.2</v>
      </c>
      <c r="J56" s="137">
        <v>0</v>
      </c>
      <c r="K56" s="138">
        <f t="shared" si="0"/>
        <v>12.2</v>
      </c>
      <c r="L56" s="139">
        <f t="shared" si="1"/>
        <v>73.199999999999989</v>
      </c>
      <c r="M56" s="138">
        <f t="shared" si="2"/>
        <v>56.048249999999989</v>
      </c>
    </row>
    <row r="57" spans="1:13" ht="20.100000000000001" customHeight="1" x14ac:dyDescent="0.35">
      <c r="A57" s="40">
        <v>3545</v>
      </c>
      <c r="B57" s="58">
        <v>6</v>
      </c>
      <c r="C57" s="58" t="s">
        <v>65</v>
      </c>
      <c r="D57" s="58" t="s">
        <v>2</v>
      </c>
      <c r="E57" s="64" t="s">
        <v>148</v>
      </c>
      <c r="F57" s="66" t="s">
        <v>182</v>
      </c>
      <c r="G57" s="145">
        <v>13.390649999999999</v>
      </c>
      <c r="H57" s="146">
        <v>46.2</v>
      </c>
      <c r="I57" s="147">
        <v>7.7</v>
      </c>
      <c r="J57" s="137">
        <v>0</v>
      </c>
      <c r="K57" s="138">
        <f t="shared" si="0"/>
        <v>7.7</v>
      </c>
      <c r="L57" s="139">
        <f t="shared" si="1"/>
        <v>46.2</v>
      </c>
      <c r="M57" s="138">
        <f t="shared" si="2"/>
        <v>32.809350000000002</v>
      </c>
    </row>
    <row r="58" spans="1:13" ht="20.100000000000001" customHeight="1" x14ac:dyDescent="0.35">
      <c r="A58" s="40">
        <v>3546</v>
      </c>
      <c r="B58" s="58">
        <v>6</v>
      </c>
      <c r="C58" s="58" t="s">
        <v>64</v>
      </c>
      <c r="D58" s="58" t="s">
        <v>2</v>
      </c>
      <c r="E58" s="64" t="s">
        <v>148</v>
      </c>
      <c r="F58" s="66" t="s">
        <v>183</v>
      </c>
      <c r="G58" s="145">
        <v>13.390649999999999</v>
      </c>
      <c r="H58" s="146">
        <v>46.2</v>
      </c>
      <c r="I58" s="147">
        <v>7.7</v>
      </c>
      <c r="J58" s="137">
        <v>0</v>
      </c>
      <c r="K58" s="138">
        <f t="shared" si="0"/>
        <v>7.7</v>
      </c>
      <c r="L58" s="139">
        <f t="shared" si="1"/>
        <v>46.2</v>
      </c>
      <c r="M58" s="138">
        <f t="shared" si="2"/>
        <v>32.809350000000002</v>
      </c>
    </row>
    <row r="59" spans="1:13" ht="20.100000000000001" customHeight="1" x14ac:dyDescent="0.35">
      <c r="A59" s="40">
        <v>3547</v>
      </c>
      <c r="B59" s="58">
        <v>6</v>
      </c>
      <c r="C59" s="58" t="s">
        <v>66</v>
      </c>
      <c r="D59" s="58" t="s">
        <v>2</v>
      </c>
      <c r="E59" s="64" t="s">
        <v>148</v>
      </c>
      <c r="F59" s="66" t="s">
        <v>184</v>
      </c>
      <c r="G59" s="145">
        <v>13.390649999999999</v>
      </c>
      <c r="H59" s="146">
        <v>46.2</v>
      </c>
      <c r="I59" s="147">
        <v>7.7</v>
      </c>
      <c r="J59" s="137">
        <v>0</v>
      </c>
      <c r="K59" s="138">
        <f t="shared" si="0"/>
        <v>7.7</v>
      </c>
      <c r="L59" s="139">
        <f t="shared" si="1"/>
        <v>46.2</v>
      </c>
      <c r="M59" s="138">
        <f t="shared" si="2"/>
        <v>32.809350000000002</v>
      </c>
    </row>
    <row r="60" spans="1:13" ht="20.100000000000001" customHeight="1" x14ac:dyDescent="0.35">
      <c r="A60" s="40">
        <v>1904</v>
      </c>
      <c r="B60" s="58">
        <v>6</v>
      </c>
      <c r="C60" s="58" t="s">
        <v>65</v>
      </c>
      <c r="D60" s="58" t="s">
        <v>1</v>
      </c>
      <c r="E60" s="64" t="s">
        <v>185</v>
      </c>
      <c r="F60" s="66" t="s">
        <v>186</v>
      </c>
      <c r="G60" s="145">
        <v>13.390649999999999</v>
      </c>
      <c r="H60" s="146">
        <v>65.400000000000006</v>
      </c>
      <c r="I60" s="147">
        <v>10.9</v>
      </c>
      <c r="J60" s="137">
        <v>0</v>
      </c>
      <c r="K60" s="138">
        <f t="shared" si="0"/>
        <v>10.9</v>
      </c>
      <c r="L60" s="139">
        <f t="shared" si="1"/>
        <v>65.400000000000006</v>
      </c>
      <c r="M60" s="138">
        <f t="shared" si="2"/>
        <v>52.009350000000005</v>
      </c>
    </row>
    <row r="61" spans="1:13" ht="20.100000000000001" customHeight="1" x14ac:dyDescent="0.35">
      <c r="A61" s="40" t="s">
        <v>187</v>
      </c>
      <c r="B61" s="58">
        <v>6</v>
      </c>
      <c r="C61" s="58" t="s">
        <v>64</v>
      </c>
      <c r="D61" s="58" t="s">
        <v>1</v>
      </c>
      <c r="E61" s="64" t="s">
        <v>44</v>
      </c>
      <c r="F61" s="66" t="s">
        <v>188</v>
      </c>
      <c r="G61" s="145">
        <v>13.390649999999999</v>
      </c>
      <c r="H61" s="146">
        <v>52.800000000000004</v>
      </c>
      <c r="I61" s="147">
        <v>8.8000000000000007</v>
      </c>
      <c r="J61" s="137">
        <v>0</v>
      </c>
      <c r="K61" s="138">
        <f t="shared" si="0"/>
        <v>8.8000000000000007</v>
      </c>
      <c r="L61" s="139">
        <f t="shared" si="1"/>
        <v>52.800000000000004</v>
      </c>
      <c r="M61" s="138">
        <f t="shared" si="2"/>
        <v>39.409350000000003</v>
      </c>
    </row>
    <row r="62" spans="1:13" ht="20.100000000000001" customHeight="1" x14ac:dyDescent="0.35">
      <c r="A62" s="40" t="s">
        <v>189</v>
      </c>
      <c r="B62" s="58">
        <v>12</v>
      </c>
      <c r="C62" s="58" t="s">
        <v>65</v>
      </c>
      <c r="D62" s="58" t="s">
        <v>1</v>
      </c>
      <c r="E62" s="64" t="s">
        <v>143</v>
      </c>
      <c r="F62" s="66" t="s">
        <v>190</v>
      </c>
      <c r="G62" s="145">
        <v>26.781299999999998</v>
      </c>
      <c r="H62" s="146">
        <v>163.19999999999999</v>
      </c>
      <c r="I62" s="147">
        <v>13.6</v>
      </c>
      <c r="J62" s="137">
        <v>0</v>
      </c>
      <c r="K62" s="138">
        <f t="shared" si="0"/>
        <v>13.6</v>
      </c>
      <c r="L62" s="139">
        <f t="shared" si="1"/>
        <v>163.19999999999999</v>
      </c>
      <c r="M62" s="138">
        <f t="shared" si="2"/>
        <v>136.4187</v>
      </c>
    </row>
    <row r="63" spans="1:13" ht="20.100000000000001" customHeight="1" x14ac:dyDescent="0.35">
      <c r="A63" s="40" t="s">
        <v>191</v>
      </c>
      <c r="B63" s="58">
        <v>6</v>
      </c>
      <c r="C63" s="58" t="s">
        <v>66</v>
      </c>
      <c r="D63" s="58" t="s">
        <v>1</v>
      </c>
      <c r="E63" s="64" t="s">
        <v>104</v>
      </c>
      <c r="F63" s="66" t="s">
        <v>192</v>
      </c>
      <c r="G63" s="145">
        <v>13.390649999999999</v>
      </c>
      <c r="H63" s="146">
        <v>13.3</v>
      </c>
      <c r="I63" s="147">
        <v>13.302730769230768</v>
      </c>
      <c r="J63" s="137">
        <v>0</v>
      </c>
      <c r="K63" s="138">
        <f t="shared" si="0"/>
        <v>13.302730769230768</v>
      </c>
      <c r="L63" s="139">
        <f t="shared" si="1"/>
        <v>79.816384615384607</v>
      </c>
      <c r="M63" s="138">
        <f t="shared" si="2"/>
        <v>66.425734615384613</v>
      </c>
    </row>
    <row r="64" spans="1:13" ht="20.100000000000001" customHeight="1" x14ac:dyDescent="0.35">
      <c r="A64" s="40">
        <v>3244</v>
      </c>
      <c r="B64" s="58">
        <v>6</v>
      </c>
      <c r="C64" s="58" t="s">
        <v>64</v>
      </c>
      <c r="D64" s="58" t="s">
        <v>0</v>
      </c>
      <c r="E64" s="64" t="s">
        <v>193</v>
      </c>
      <c r="F64" s="66" t="s">
        <v>194</v>
      </c>
      <c r="G64" s="145">
        <v>13.390649999999999</v>
      </c>
      <c r="H64" s="146">
        <v>40.799999999999997</v>
      </c>
      <c r="I64" s="147">
        <v>6.8</v>
      </c>
      <c r="J64" s="137">
        <v>0</v>
      </c>
      <c r="K64" s="138">
        <f t="shared" si="0"/>
        <v>6.8</v>
      </c>
      <c r="L64" s="139">
        <f t="shared" si="1"/>
        <v>40.799999999999997</v>
      </c>
      <c r="M64" s="138">
        <f t="shared" si="2"/>
        <v>27.409349999999996</v>
      </c>
    </row>
    <row r="65" spans="1:13" ht="20.100000000000001" customHeight="1" x14ac:dyDescent="0.35">
      <c r="A65" s="40" t="s">
        <v>195</v>
      </c>
      <c r="B65" s="58">
        <v>6</v>
      </c>
      <c r="C65" s="58" t="s">
        <v>64</v>
      </c>
      <c r="D65" s="58" t="s">
        <v>1</v>
      </c>
      <c r="E65" s="64" t="s">
        <v>154</v>
      </c>
      <c r="F65" s="66" t="s">
        <v>196</v>
      </c>
      <c r="G65" s="145">
        <v>13.390649999999999</v>
      </c>
      <c r="H65" s="146">
        <v>51.599999999999994</v>
      </c>
      <c r="I65" s="147">
        <v>8.6</v>
      </c>
      <c r="J65" s="137">
        <v>0</v>
      </c>
      <c r="K65" s="138">
        <f t="shared" si="0"/>
        <v>8.6</v>
      </c>
      <c r="L65" s="139">
        <f t="shared" si="1"/>
        <v>51.599999999999994</v>
      </c>
      <c r="M65" s="138">
        <f t="shared" si="2"/>
        <v>38.209349999999993</v>
      </c>
    </row>
    <row r="66" spans="1:13" ht="20.100000000000001" customHeight="1" x14ac:dyDescent="0.35">
      <c r="A66" s="40">
        <v>3246</v>
      </c>
      <c r="B66" s="58">
        <v>6</v>
      </c>
      <c r="C66" s="58" t="s">
        <v>64</v>
      </c>
      <c r="D66" s="58" t="s">
        <v>0</v>
      </c>
      <c r="E66" s="64" t="s">
        <v>193</v>
      </c>
      <c r="F66" s="66" t="s">
        <v>197</v>
      </c>
      <c r="G66" s="145">
        <v>13.390649999999999</v>
      </c>
      <c r="H66" s="146">
        <v>40.799999999999997</v>
      </c>
      <c r="I66" s="147">
        <v>6.8</v>
      </c>
      <c r="J66" s="137">
        <v>0</v>
      </c>
      <c r="K66" s="138">
        <f t="shared" si="0"/>
        <v>6.8</v>
      </c>
      <c r="L66" s="139">
        <f t="shared" si="1"/>
        <v>40.799999999999997</v>
      </c>
      <c r="M66" s="138">
        <f t="shared" si="2"/>
        <v>27.409349999999996</v>
      </c>
    </row>
    <row r="67" spans="1:13" ht="20.100000000000001" customHeight="1" x14ac:dyDescent="0.35">
      <c r="A67" s="40" t="s">
        <v>198</v>
      </c>
      <c r="B67" s="58">
        <v>12</v>
      </c>
      <c r="C67" s="58" t="s">
        <v>64</v>
      </c>
      <c r="D67" s="58" t="s">
        <v>1</v>
      </c>
      <c r="E67" s="64" t="s">
        <v>154</v>
      </c>
      <c r="F67" s="66" t="s">
        <v>199</v>
      </c>
      <c r="G67" s="145">
        <v>26.781299999999998</v>
      </c>
      <c r="H67" s="146">
        <v>183.60000000000002</v>
      </c>
      <c r="I67" s="147">
        <v>15.3</v>
      </c>
      <c r="J67" s="137">
        <v>0</v>
      </c>
      <c r="K67" s="138">
        <f t="shared" si="0"/>
        <v>15.3</v>
      </c>
      <c r="L67" s="139">
        <f t="shared" si="1"/>
        <v>183.60000000000002</v>
      </c>
      <c r="M67" s="138">
        <f t="shared" si="2"/>
        <v>156.81870000000004</v>
      </c>
    </row>
    <row r="68" spans="1:13" ht="20.100000000000001" customHeight="1" x14ac:dyDescent="0.35">
      <c r="A68" s="40">
        <v>2113</v>
      </c>
      <c r="B68" s="58">
        <v>6</v>
      </c>
      <c r="C68" s="58" t="s">
        <v>64</v>
      </c>
      <c r="D68" s="58" t="s">
        <v>1</v>
      </c>
      <c r="E68" s="64" t="s">
        <v>104</v>
      </c>
      <c r="F68" s="66" t="s">
        <v>200</v>
      </c>
      <c r="G68" s="145">
        <v>13.390649999999999</v>
      </c>
      <c r="H68" s="146">
        <v>66.599999999999994</v>
      </c>
      <c r="I68" s="147">
        <v>11.1</v>
      </c>
      <c r="J68" s="137">
        <v>0</v>
      </c>
      <c r="K68" s="138">
        <f t="shared" ref="K68:K131" si="3">SUM(I68*(1-J68))</f>
        <v>11.1</v>
      </c>
      <c r="L68" s="139">
        <f t="shared" ref="L68:L131" si="4">K68*B68</f>
        <v>66.599999999999994</v>
      </c>
      <c r="M68" s="138">
        <f t="shared" ref="M68:M131" si="5">L68-G68</f>
        <v>53.209349999999993</v>
      </c>
    </row>
    <row r="69" spans="1:13" ht="20.100000000000001" customHeight="1" x14ac:dyDescent="0.35">
      <c r="A69" s="40">
        <v>2060</v>
      </c>
      <c r="B69" s="58">
        <v>6</v>
      </c>
      <c r="C69" s="58" t="s">
        <v>65</v>
      </c>
      <c r="D69" s="58" t="s">
        <v>1</v>
      </c>
      <c r="E69" s="64" t="s">
        <v>44</v>
      </c>
      <c r="F69" s="66" t="s">
        <v>201</v>
      </c>
      <c r="G69" s="145">
        <v>13.390649999999999</v>
      </c>
      <c r="H69" s="146">
        <v>48.599999999999994</v>
      </c>
      <c r="I69" s="147">
        <v>8.1</v>
      </c>
      <c r="J69" s="137">
        <v>0</v>
      </c>
      <c r="K69" s="138">
        <f t="shared" si="3"/>
        <v>8.1</v>
      </c>
      <c r="L69" s="139">
        <f t="shared" si="4"/>
        <v>48.599999999999994</v>
      </c>
      <c r="M69" s="138">
        <f t="shared" si="5"/>
        <v>35.209349999999993</v>
      </c>
    </row>
    <row r="70" spans="1:13" ht="20.100000000000001" customHeight="1" x14ac:dyDescent="0.35">
      <c r="A70" s="40">
        <v>2061</v>
      </c>
      <c r="B70" s="58">
        <v>6</v>
      </c>
      <c r="C70" s="58" t="s">
        <v>64</v>
      </c>
      <c r="D70" s="58" t="s">
        <v>1</v>
      </c>
      <c r="E70" s="64" t="s">
        <v>44</v>
      </c>
      <c r="F70" s="66" t="s">
        <v>202</v>
      </c>
      <c r="G70" s="145">
        <v>13.390649999999999</v>
      </c>
      <c r="H70" s="146">
        <v>48.599999999999994</v>
      </c>
      <c r="I70" s="147">
        <v>8.1</v>
      </c>
      <c r="J70" s="137">
        <v>0</v>
      </c>
      <c r="K70" s="138">
        <f t="shared" si="3"/>
        <v>8.1</v>
      </c>
      <c r="L70" s="139">
        <f t="shared" si="4"/>
        <v>48.599999999999994</v>
      </c>
      <c r="M70" s="138">
        <f t="shared" si="5"/>
        <v>35.209349999999993</v>
      </c>
    </row>
    <row r="71" spans="1:13" ht="20.100000000000001" customHeight="1" x14ac:dyDescent="0.35">
      <c r="A71" s="40">
        <v>2062</v>
      </c>
      <c r="B71" s="58">
        <v>6</v>
      </c>
      <c r="C71" s="58" t="s">
        <v>66</v>
      </c>
      <c r="D71" s="58" t="s">
        <v>1</v>
      </c>
      <c r="E71" s="64" t="s">
        <v>44</v>
      </c>
      <c r="F71" s="66" t="s">
        <v>203</v>
      </c>
      <c r="G71" s="145">
        <v>13.390649999999999</v>
      </c>
      <c r="H71" s="146">
        <v>48.599999999999994</v>
      </c>
      <c r="I71" s="147">
        <v>8.1</v>
      </c>
      <c r="J71" s="137">
        <v>0</v>
      </c>
      <c r="K71" s="138">
        <f t="shared" si="3"/>
        <v>8.1</v>
      </c>
      <c r="L71" s="139">
        <f t="shared" si="4"/>
        <v>48.599999999999994</v>
      </c>
      <c r="M71" s="138">
        <f t="shared" si="5"/>
        <v>35.209349999999993</v>
      </c>
    </row>
    <row r="72" spans="1:13" ht="20.100000000000001" customHeight="1" x14ac:dyDescent="0.35">
      <c r="A72" s="40">
        <v>2063</v>
      </c>
      <c r="B72" s="58">
        <v>6</v>
      </c>
      <c r="C72" s="58" t="s">
        <v>65</v>
      </c>
      <c r="D72" s="58" t="s">
        <v>1</v>
      </c>
      <c r="E72" s="64" t="s">
        <v>44</v>
      </c>
      <c r="F72" s="66" t="s">
        <v>204</v>
      </c>
      <c r="G72" s="145">
        <v>13.390649999999999</v>
      </c>
      <c r="H72" s="146">
        <v>48.599999999999994</v>
      </c>
      <c r="I72" s="147">
        <v>8.1</v>
      </c>
      <c r="J72" s="137">
        <v>0</v>
      </c>
      <c r="K72" s="138">
        <f t="shared" si="3"/>
        <v>8.1</v>
      </c>
      <c r="L72" s="139">
        <f t="shared" si="4"/>
        <v>48.599999999999994</v>
      </c>
      <c r="M72" s="138">
        <f t="shared" si="5"/>
        <v>35.209349999999993</v>
      </c>
    </row>
    <row r="73" spans="1:13" ht="20.100000000000001" customHeight="1" x14ac:dyDescent="0.35">
      <c r="A73" s="40">
        <v>3241</v>
      </c>
      <c r="B73" s="58">
        <v>6</v>
      </c>
      <c r="C73" s="58" t="s">
        <v>64</v>
      </c>
      <c r="D73" s="58" t="s">
        <v>0</v>
      </c>
      <c r="E73" s="64" t="s">
        <v>193</v>
      </c>
      <c r="F73" s="66" t="s">
        <v>205</v>
      </c>
      <c r="G73" s="145">
        <v>13.390649999999999</v>
      </c>
      <c r="H73" s="146">
        <v>50.400000000000006</v>
      </c>
      <c r="I73" s="147">
        <v>8.4</v>
      </c>
      <c r="J73" s="137">
        <v>0</v>
      </c>
      <c r="K73" s="138">
        <f t="shared" si="3"/>
        <v>8.4</v>
      </c>
      <c r="L73" s="139">
        <f t="shared" si="4"/>
        <v>50.400000000000006</v>
      </c>
      <c r="M73" s="138">
        <f t="shared" si="5"/>
        <v>37.009350000000005</v>
      </c>
    </row>
    <row r="74" spans="1:13" ht="20.100000000000001" customHeight="1" x14ac:dyDescent="0.35">
      <c r="A74" s="40" t="s">
        <v>206</v>
      </c>
      <c r="B74" s="58">
        <v>6</v>
      </c>
      <c r="C74" s="58" t="s">
        <v>64</v>
      </c>
      <c r="D74" s="58" t="s">
        <v>1</v>
      </c>
      <c r="E74" s="64" t="s">
        <v>44</v>
      </c>
      <c r="F74" s="66" t="s">
        <v>207</v>
      </c>
      <c r="G74" s="145">
        <v>13.390649999999999</v>
      </c>
      <c r="H74" s="146">
        <v>43.8</v>
      </c>
      <c r="I74" s="147">
        <v>7.3</v>
      </c>
      <c r="J74" s="137">
        <v>0</v>
      </c>
      <c r="K74" s="138">
        <f t="shared" si="3"/>
        <v>7.3</v>
      </c>
      <c r="L74" s="139">
        <f t="shared" si="4"/>
        <v>43.8</v>
      </c>
      <c r="M74" s="138">
        <f t="shared" si="5"/>
        <v>30.409349999999996</v>
      </c>
    </row>
    <row r="75" spans="1:13" ht="20.100000000000001" customHeight="1" x14ac:dyDescent="0.35">
      <c r="A75" s="40">
        <v>1905</v>
      </c>
      <c r="B75" s="58">
        <v>6</v>
      </c>
      <c r="C75" s="58" t="s">
        <v>65</v>
      </c>
      <c r="D75" s="58" t="s">
        <v>1</v>
      </c>
      <c r="E75" s="64" t="s">
        <v>185</v>
      </c>
      <c r="F75" s="66" t="s">
        <v>208</v>
      </c>
      <c r="G75" s="145">
        <v>13.390649999999999</v>
      </c>
      <c r="H75" s="146">
        <v>63</v>
      </c>
      <c r="I75" s="147">
        <v>10.5</v>
      </c>
      <c r="J75" s="137">
        <v>0</v>
      </c>
      <c r="K75" s="138">
        <f t="shared" si="3"/>
        <v>10.5</v>
      </c>
      <c r="L75" s="139">
        <f t="shared" si="4"/>
        <v>63</v>
      </c>
      <c r="M75" s="138">
        <f t="shared" si="5"/>
        <v>49.609349999999999</v>
      </c>
    </row>
    <row r="76" spans="1:13" ht="20.100000000000001" customHeight="1" x14ac:dyDescent="0.35">
      <c r="A76" s="40">
        <v>3418</v>
      </c>
      <c r="B76" s="58">
        <v>12</v>
      </c>
      <c r="C76" s="58" t="s">
        <v>65</v>
      </c>
      <c r="D76" s="58" t="s">
        <v>2</v>
      </c>
      <c r="E76" s="64" t="s">
        <v>209</v>
      </c>
      <c r="F76" s="66" t="s">
        <v>210</v>
      </c>
      <c r="G76" s="145">
        <v>26.781299999999998</v>
      </c>
      <c r="H76" s="146">
        <v>121.19999999999999</v>
      </c>
      <c r="I76" s="147">
        <v>10.1</v>
      </c>
      <c r="J76" s="137">
        <v>0</v>
      </c>
      <c r="K76" s="138">
        <f t="shared" si="3"/>
        <v>10.1</v>
      </c>
      <c r="L76" s="139">
        <f t="shared" si="4"/>
        <v>121.19999999999999</v>
      </c>
      <c r="M76" s="138">
        <f t="shared" si="5"/>
        <v>94.418699999999987</v>
      </c>
    </row>
    <row r="77" spans="1:13" ht="20.100000000000001" customHeight="1" x14ac:dyDescent="0.35">
      <c r="A77" s="40">
        <v>2109</v>
      </c>
      <c r="B77" s="58">
        <v>6</v>
      </c>
      <c r="C77" s="58" t="s">
        <v>65</v>
      </c>
      <c r="D77" s="58" t="s">
        <v>1</v>
      </c>
      <c r="E77" s="64" t="s">
        <v>211</v>
      </c>
      <c r="F77" s="66" t="s">
        <v>212</v>
      </c>
      <c r="G77" s="145">
        <v>13.390649999999999</v>
      </c>
      <c r="H77" s="146">
        <v>52.199999999999996</v>
      </c>
      <c r="I77" s="147">
        <v>8.6999999999999993</v>
      </c>
      <c r="J77" s="137">
        <v>0</v>
      </c>
      <c r="K77" s="138">
        <f t="shared" si="3"/>
        <v>8.6999999999999993</v>
      </c>
      <c r="L77" s="139">
        <f t="shared" si="4"/>
        <v>52.199999999999996</v>
      </c>
      <c r="M77" s="138">
        <f t="shared" si="5"/>
        <v>38.809349999999995</v>
      </c>
    </row>
    <row r="78" spans="1:13" ht="20.100000000000001" customHeight="1" x14ac:dyDescent="0.35">
      <c r="A78" s="40" t="s">
        <v>213</v>
      </c>
      <c r="B78" s="58">
        <v>6</v>
      </c>
      <c r="C78" s="58" t="s">
        <v>64</v>
      </c>
      <c r="D78" s="58" t="s">
        <v>2</v>
      </c>
      <c r="E78" s="64" t="s">
        <v>214</v>
      </c>
      <c r="F78" s="66" t="s">
        <v>215</v>
      </c>
      <c r="G78" s="145">
        <v>13.390649999999999</v>
      </c>
      <c r="H78" s="146">
        <v>55.199999999999996</v>
      </c>
      <c r="I78" s="147">
        <v>9.1999999999999993</v>
      </c>
      <c r="J78" s="137">
        <v>0</v>
      </c>
      <c r="K78" s="138">
        <f t="shared" si="3"/>
        <v>9.1999999999999993</v>
      </c>
      <c r="L78" s="139">
        <f t="shared" si="4"/>
        <v>55.199999999999996</v>
      </c>
      <c r="M78" s="138">
        <f t="shared" si="5"/>
        <v>41.809349999999995</v>
      </c>
    </row>
    <row r="79" spans="1:13" ht="20.100000000000001" customHeight="1" x14ac:dyDescent="0.35">
      <c r="A79" s="40">
        <v>3242</v>
      </c>
      <c r="B79" s="58">
        <v>6</v>
      </c>
      <c r="C79" s="58" t="s">
        <v>64</v>
      </c>
      <c r="D79" s="58" t="s">
        <v>0</v>
      </c>
      <c r="E79" s="64" t="s">
        <v>193</v>
      </c>
      <c r="F79" s="66" t="s">
        <v>216</v>
      </c>
      <c r="G79" s="145">
        <v>13.390649999999999</v>
      </c>
      <c r="H79" s="146">
        <v>52.800000000000004</v>
      </c>
      <c r="I79" s="147">
        <v>8.8000000000000007</v>
      </c>
      <c r="J79" s="137">
        <v>0</v>
      </c>
      <c r="K79" s="138">
        <f t="shared" si="3"/>
        <v>8.8000000000000007</v>
      </c>
      <c r="L79" s="139">
        <f t="shared" si="4"/>
        <v>52.800000000000004</v>
      </c>
      <c r="M79" s="138">
        <f t="shared" si="5"/>
        <v>39.409350000000003</v>
      </c>
    </row>
    <row r="80" spans="1:13" ht="20.100000000000001" customHeight="1" x14ac:dyDescent="0.35">
      <c r="A80" s="40" t="s">
        <v>217</v>
      </c>
      <c r="B80" s="58">
        <v>6</v>
      </c>
      <c r="C80" s="58" t="s">
        <v>66</v>
      </c>
      <c r="D80" s="58" t="s">
        <v>1</v>
      </c>
      <c r="E80" s="64" t="s">
        <v>101</v>
      </c>
      <c r="F80" s="66" t="s">
        <v>218</v>
      </c>
      <c r="G80" s="145">
        <v>13.390649999999999</v>
      </c>
      <c r="H80" s="146">
        <v>42.599999999999994</v>
      </c>
      <c r="I80" s="147">
        <v>7.1</v>
      </c>
      <c r="J80" s="137">
        <v>0</v>
      </c>
      <c r="K80" s="138">
        <f t="shared" si="3"/>
        <v>7.1</v>
      </c>
      <c r="L80" s="139">
        <f t="shared" si="4"/>
        <v>42.599999999999994</v>
      </c>
      <c r="M80" s="138">
        <f t="shared" si="5"/>
        <v>29.209349999999993</v>
      </c>
    </row>
    <row r="81" spans="1:13" ht="20.100000000000001" customHeight="1" x14ac:dyDescent="0.35">
      <c r="A81" s="40">
        <v>2737</v>
      </c>
      <c r="B81" s="58">
        <v>6</v>
      </c>
      <c r="C81" s="58" t="s">
        <v>64</v>
      </c>
      <c r="D81" s="58" t="s">
        <v>1</v>
      </c>
      <c r="E81" s="64" t="s">
        <v>154</v>
      </c>
      <c r="F81" s="66" t="s">
        <v>219</v>
      </c>
      <c r="G81" s="145">
        <v>13.390649999999999</v>
      </c>
      <c r="H81" s="146">
        <v>104.39999999999999</v>
      </c>
      <c r="I81" s="147">
        <v>17.399999999999999</v>
      </c>
      <c r="J81" s="137">
        <v>0</v>
      </c>
      <c r="K81" s="138">
        <f t="shared" si="3"/>
        <v>17.399999999999999</v>
      </c>
      <c r="L81" s="139">
        <f t="shared" si="4"/>
        <v>104.39999999999999</v>
      </c>
      <c r="M81" s="138">
        <f t="shared" si="5"/>
        <v>91.009349999999998</v>
      </c>
    </row>
    <row r="82" spans="1:13" ht="20.100000000000001" customHeight="1" x14ac:dyDescent="0.35">
      <c r="A82" s="40">
        <v>1211</v>
      </c>
      <c r="B82" s="58">
        <v>12</v>
      </c>
      <c r="C82" s="58" t="s">
        <v>65</v>
      </c>
      <c r="D82" s="58" t="s">
        <v>4</v>
      </c>
      <c r="E82" s="64" t="s">
        <v>23</v>
      </c>
      <c r="F82" s="66" t="s">
        <v>220</v>
      </c>
      <c r="G82" s="145">
        <v>26.781299999999998</v>
      </c>
      <c r="H82" s="146">
        <v>76.800000000000011</v>
      </c>
      <c r="I82" s="147">
        <v>6.4</v>
      </c>
      <c r="J82" s="137">
        <v>0</v>
      </c>
      <c r="K82" s="138">
        <f t="shared" si="3"/>
        <v>6.4</v>
      </c>
      <c r="L82" s="139">
        <f t="shared" si="4"/>
        <v>76.800000000000011</v>
      </c>
      <c r="M82" s="138">
        <f t="shared" si="5"/>
        <v>50.01870000000001</v>
      </c>
    </row>
    <row r="83" spans="1:13" ht="20.100000000000001" customHeight="1" x14ac:dyDescent="0.35">
      <c r="A83" s="40">
        <v>1902</v>
      </c>
      <c r="B83" s="58">
        <v>6</v>
      </c>
      <c r="C83" s="58" t="s">
        <v>65</v>
      </c>
      <c r="D83" s="58" t="s">
        <v>1</v>
      </c>
      <c r="E83" s="64" t="s">
        <v>185</v>
      </c>
      <c r="F83" s="66" t="s">
        <v>221</v>
      </c>
      <c r="G83" s="145">
        <v>13.390649999999999</v>
      </c>
      <c r="H83" s="146">
        <v>72.599999999999994</v>
      </c>
      <c r="I83" s="147">
        <v>12.1</v>
      </c>
      <c r="J83" s="137">
        <v>0</v>
      </c>
      <c r="K83" s="138">
        <f t="shared" si="3"/>
        <v>12.1</v>
      </c>
      <c r="L83" s="139">
        <f t="shared" si="4"/>
        <v>72.599999999999994</v>
      </c>
      <c r="M83" s="138">
        <f t="shared" si="5"/>
        <v>59.209349999999993</v>
      </c>
    </row>
    <row r="84" spans="1:13" ht="20.100000000000001" customHeight="1" x14ac:dyDescent="0.35">
      <c r="A84" s="40" t="s">
        <v>222</v>
      </c>
      <c r="B84" s="58">
        <v>6</v>
      </c>
      <c r="C84" s="58" t="s">
        <v>65</v>
      </c>
      <c r="D84" s="58" t="s">
        <v>1</v>
      </c>
      <c r="E84" s="64" t="s">
        <v>154</v>
      </c>
      <c r="F84" s="66" t="s">
        <v>223</v>
      </c>
      <c r="G84" s="145">
        <v>13.390649999999999</v>
      </c>
      <c r="H84" s="146">
        <v>50.400000000000006</v>
      </c>
      <c r="I84" s="147">
        <v>8.4</v>
      </c>
      <c r="J84" s="137">
        <v>0</v>
      </c>
      <c r="K84" s="138">
        <f t="shared" si="3"/>
        <v>8.4</v>
      </c>
      <c r="L84" s="139">
        <f t="shared" si="4"/>
        <v>50.400000000000006</v>
      </c>
      <c r="M84" s="138">
        <f t="shared" si="5"/>
        <v>37.009350000000005</v>
      </c>
    </row>
    <row r="85" spans="1:13" ht="20.100000000000001" customHeight="1" x14ac:dyDescent="0.35">
      <c r="A85" s="40">
        <v>2716</v>
      </c>
      <c r="B85" s="58">
        <v>6</v>
      </c>
      <c r="C85" s="58" t="s">
        <v>64</v>
      </c>
      <c r="D85" s="58" t="s">
        <v>1</v>
      </c>
      <c r="E85" s="64" t="s">
        <v>154</v>
      </c>
      <c r="F85" s="66" t="s">
        <v>224</v>
      </c>
      <c r="G85" s="145">
        <v>13.390649999999999</v>
      </c>
      <c r="H85" s="146">
        <v>71.400000000000006</v>
      </c>
      <c r="I85" s="147">
        <v>11.9</v>
      </c>
      <c r="J85" s="137">
        <v>0</v>
      </c>
      <c r="K85" s="138">
        <f t="shared" si="3"/>
        <v>11.9</v>
      </c>
      <c r="L85" s="139">
        <f t="shared" si="4"/>
        <v>71.400000000000006</v>
      </c>
      <c r="M85" s="138">
        <f t="shared" si="5"/>
        <v>58.009350000000005</v>
      </c>
    </row>
    <row r="86" spans="1:13" ht="20.100000000000001" customHeight="1" x14ac:dyDescent="0.35">
      <c r="A86" s="40" t="s">
        <v>225</v>
      </c>
      <c r="B86" s="58">
        <v>12</v>
      </c>
      <c r="C86" s="58" t="s">
        <v>65</v>
      </c>
      <c r="D86" s="58" t="s">
        <v>1</v>
      </c>
      <c r="E86" s="64" t="s">
        <v>143</v>
      </c>
      <c r="F86" s="66" t="s">
        <v>226</v>
      </c>
      <c r="G86" s="145">
        <v>26.781299999999998</v>
      </c>
      <c r="H86" s="146">
        <v>164.39999999999998</v>
      </c>
      <c r="I86" s="147">
        <v>13.7</v>
      </c>
      <c r="J86" s="137">
        <v>0</v>
      </c>
      <c r="K86" s="138">
        <f t="shared" si="3"/>
        <v>13.7</v>
      </c>
      <c r="L86" s="139">
        <f t="shared" si="4"/>
        <v>164.39999999999998</v>
      </c>
      <c r="M86" s="138">
        <f t="shared" si="5"/>
        <v>137.61869999999999</v>
      </c>
    </row>
    <row r="87" spans="1:13" ht="20.100000000000001" customHeight="1" x14ac:dyDescent="0.35">
      <c r="A87" s="40">
        <v>1896</v>
      </c>
      <c r="B87" s="58">
        <v>6</v>
      </c>
      <c r="C87" s="58" t="s">
        <v>67</v>
      </c>
      <c r="D87" s="58" t="s">
        <v>2</v>
      </c>
      <c r="E87" s="64" t="s">
        <v>48</v>
      </c>
      <c r="F87" s="66" t="s">
        <v>227</v>
      </c>
      <c r="G87" s="145">
        <v>17.15175</v>
      </c>
      <c r="H87" s="146">
        <v>54.599999999999994</v>
      </c>
      <c r="I87" s="147">
        <v>9.1</v>
      </c>
      <c r="J87" s="137">
        <v>0</v>
      </c>
      <c r="K87" s="138">
        <f t="shared" si="3"/>
        <v>9.1</v>
      </c>
      <c r="L87" s="139">
        <f t="shared" si="4"/>
        <v>54.599999999999994</v>
      </c>
      <c r="M87" s="138">
        <f t="shared" si="5"/>
        <v>37.448249999999994</v>
      </c>
    </row>
    <row r="88" spans="1:13" ht="20.100000000000001" customHeight="1" x14ac:dyDescent="0.35">
      <c r="A88" s="40">
        <v>3419</v>
      </c>
      <c r="B88" s="58">
        <v>12</v>
      </c>
      <c r="C88" s="58" t="s">
        <v>65</v>
      </c>
      <c r="D88" s="58" t="s">
        <v>2</v>
      </c>
      <c r="E88" s="64" t="s">
        <v>209</v>
      </c>
      <c r="F88" s="66" t="s">
        <v>228</v>
      </c>
      <c r="G88" s="145">
        <v>26.781299999999998</v>
      </c>
      <c r="H88" s="146">
        <v>117.60000000000001</v>
      </c>
      <c r="I88" s="147">
        <v>9.8000000000000007</v>
      </c>
      <c r="J88" s="137">
        <v>0</v>
      </c>
      <c r="K88" s="138">
        <f t="shared" si="3"/>
        <v>9.8000000000000007</v>
      </c>
      <c r="L88" s="139">
        <f t="shared" si="4"/>
        <v>117.60000000000001</v>
      </c>
      <c r="M88" s="138">
        <f t="shared" si="5"/>
        <v>90.818700000000007</v>
      </c>
    </row>
    <row r="89" spans="1:13" ht="20.100000000000001" customHeight="1" x14ac:dyDescent="0.35">
      <c r="A89" s="40">
        <v>3173</v>
      </c>
      <c r="B89" s="58">
        <v>12</v>
      </c>
      <c r="C89" s="58" t="s">
        <v>64</v>
      </c>
      <c r="D89" s="58" t="s">
        <v>2</v>
      </c>
      <c r="E89" s="64" t="s">
        <v>229</v>
      </c>
      <c r="F89" s="66" t="s">
        <v>230</v>
      </c>
      <c r="G89" s="145">
        <v>26.781299999999998</v>
      </c>
      <c r="H89" s="146">
        <v>106.80000000000001</v>
      </c>
      <c r="I89" s="147">
        <v>8.9</v>
      </c>
      <c r="J89" s="137">
        <v>0</v>
      </c>
      <c r="K89" s="138">
        <f t="shared" si="3"/>
        <v>8.9</v>
      </c>
      <c r="L89" s="139">
        <f t="shared" si="4"/>
        <v>106.80000000000001</v>
      </c>
      <c r="M89" s="138">
        <f t="shared" si="5"/>
        <v>80.01870000000001</v>
      </c>
    </row>
    <row r="90" spans="1:13" ht="20.100000000000001" customHeight="1" x14ac:dyDescent="0.35">
      <c r="A90" s="40">
        <v>3177</v>
      </c>
      <c r="B90" s="58">
        <v>12</v>
      </c>
      <c r="C90" s="58" t="s">
        <v>66</v>
      </c>
      <c r="D90" s="58" t="s">
        <v>2</v>
      </c>
      <c r="E90" s="64" t="s">
        <v>229</v>
      </c>
      <c r="F90" s="66" t="s">
        <v>231</v>
      </c>
      <c r="G90" s="145">
        <v>26.781299999999998</v>
      </c>
      <c r="H90" s="146">
        <v>106.80000000000001</v>
      </c>
      <c r="I90" s="147">
        <v>8.9</v>
      </c>
      <c r="J90" s="137">
        <v>0</v>
      </c>
      <c r="K90" s="138">
        <f t="shared" si="3"/>
        <v>8.9</v>
      </c>
      <c r="L90" s="139">
        <f t="shared" si="4"/>
        <v>106.80000000000001</v>
      </c>
      <c r="M90" s="138">
        <f t="shared" si="5"/>
        <v>80.01870000000001</v>
      </c>
    </row>
    <row r="91" spans="1:13" ht="20.100000000000001" customHeight="1" x14ac:dyDescent="0.35">
      <c r="A91" s="40">
        <v>3243</v>
      </c>
      <c r="B91" s="58">
        <v>6</v>
      </c>
      <c r="C91" s="58" t="s">
        <v>65</v>
      </c>
      <c r="D91" s="58" t="s">
        <v>0</v>
      </c>
      <c r="E91" s="64" t="s">
        <v>193</v>
      </c>
      <c r="F91" s="66" t="s">
        <v>232</v>
      </c>
      <c r="G91" s="145">
        <v>13.390649999999999</v>
      </c>
      <c r="H91" s="146">
        <v>46.2</v>
      </c>
      <c r="I91" s="147">
        <v>7.7</v>
      </c>
      <c r="J91" s="137">
        <v>0</v>
      </c>
      <c r="K91" s="138">
        <f t="shared" si="3"/>
        <v>7.7</v>
      </c>
      <c r="L91" s="139">
        <f t="shared" si="4"/>
        <v>46.2</v>
      </c>
      <c r="M91" s="138">
        <f t="shared" si="5"/>
        <v>32.809350000000002</v>
      </c>
    </row>
    <row r="92" spans="1:13" ht="20.100000000000001" customHeight="1" x14ac:dyDescent="0.35">
      <c r="A92" s="40" t="s">
        <v>233</v>
      </c>
      <c r="B92" s="58">
        <v>6</v>
      </c>
      <c r="C92" s="58" t="s">
        <v>64</v>
      </c>
      <c r="D92" s="58" t="s">
        <v>1</v>
      </c>
      <c r="E92" s="64" t="s">
        <v>104</v>
      </c>
      <c r="F92" s="66" t="s">
        <v>234</v>
      </c>
      <c r="G92" s="145">
        <v>13.390649999999999</v>
      </c>
      <c r="H92" s="146">
        <v>76.800000000000011</v>
      </c>
      <c r="I92" s="147">
        <v>12.8</v>
      </c>
      <c r="J92" s="137">
        <v>0</v>
      </c>
      <c r="K92" s="138">
        <f t="shared" si="3"/>
        <v>12.8</v>
      </c>
      <c r="L92" s="139">
        <f t="shared" si="4"/>
        <v>76.800000000000011</v>
      </c>
      <c r="M92" s="138">
        <f t="shared" si="5"/>
        <v>63.409350000000011</v>
      </c>
    </row>
    <row r="93" spans="1:13" ht="20.100000000000001" customHeight="1" x14ac:dyDescent="0.35">
      <c r="A93" s="40">
        <v>2622</v>
      </c>
      <c r="B93" s="58">
        <v>12</v>
      </c>
      <c r="C93" s="58" t="s">
        <v>66</v>
      </c>
      <c r="D93" s="58" t="s">
        <v>1</v>
      </c>
      <c r="E93" s="64" t="s">
        <v>143</v>
      </c>
      <c r="F93" s="66" t="s">
        <v>235</v>
      </c>
      <c r="G93" s="145">
        <v>26.781299999999998</v>
      </c>
      <c r="H93" s="146">
        <v>160.80000000000001</v>
      </c>
      <c r="I93" s="147">
        <v>13.4</v>
      </c>
      <c r="J93" s="137">
        <v>0</v>
      </c>
      <c r="K93" s="138">
        <f t="shared" si="3"/>
        <v>13.4</v>
      </c>
      <c r="L93" s="139">
        <f t="shared" si="4"/>
        <v>160.80000000000001</v>
      </c>
      <c r="M93" s="138">
        <f t="shared" si="5"/>
        <v>134.01870000000002</v>
      </c>
    </row>
    <row r="94" spans="1:13" ht="20.100000000000001" customHeight="1" x14ac:dyDescent="0.35">
      <c r="A94" s="40" t="s">
        <v>236</v>
      </c>
      <c r="B94" s="58">
        <v>6</v>
      </c>
      <c r="C94" s="58" t="s">
        <v>67</v>
      </c>
      <c r="D94" s="58" t="s">
        <v>1</v>
      </c>
      <c r="E94" s="64" t="s">
        <v>119</v>
      </c>
      <c r="F94" s="66" t="s">
        <v>237</v>
      </c>
      <c r="G94" s="145">
        <v>17.15175</v>
      </c>
      <c r="H94" s="146">
        <v>154.19999999999999</v>
      </c>
      <c r="I94" s="147">
        <v>25.7</v>
      </c>
      <c r="J94" s="137">
        <v>0</v>
      </c>
      <c r="K94" s="138">
        <f t="shared" si="3"/>
        <v>25.7</v>
      </c>
      <c r="L94" s="139">
        <f t="shared" si="4"/>
        <v>154.19999999999999</v>
      </c>
      <c r="M94" s="138">
        <f t="shared" si="5"/>
        <v>137.04825</v>
      </c>
    </row>
    <row r="95" spans="1:13" ht="20.100000000000001" customHeight="1" x14ac:dyDescent="0.35">
      <c r="A95" s="40">
        <v>1764</v>
      </c>
      <c r="B95" s="58">
        <v>6</v>
      </c>
      <c r="C95" s="58" t="s">
        <v>65</v>
      </c>
      <c r="D95" s="58" t="s">
        <v>5</v>
      </c>
      <c r="E95" s="64" t="s">
        <v>238</v>
      </c>
      <c r="F95" s="66" t="s">
        <v>239</v>
      </c>
      <c r="G95" s="145">
        <v>13.390649999999999</v>
      </c>
      <c r="H95" s="146">
        <v>46.8</v>
      </c>
      <c r="I95" s="147">
        <v>7.8</v>
      </c>
      <c r="J95" s="137">
        <v>0</v>
      </c>
      <c r="K95" s="138">
        <f t="shared" si="3"/>
        <v>7.8</v>
      </c>
      <c r="L95" s="139">
        <f t="shared" si="4"/>
        <v>46.8</v>
      </c>
      <c r="M95" s="138">
        <f t="shared" si="5"/>
        <v>33.409349999999996</v>
      </c>
    </row>
    <row r="96" spans="1:13" ht="20.100000000000001" customHeight="1" x14ac:dyDescent="0.35">
      <c r="A96" s="40">
        <v>1765</v>
      </c>
      <c r="B96" s="58">
        <v>6</v>
      </c>
      <c r="C96" s="58" t="s">
        <v>64</v>
      </c>
      <c r="D96" s="58" t="s">
        <v>5</v>
      </c>
      <c r="E96" s="64" t="s">
        <v>238</v>
      </c>
      <c r="F96" s="66" t="s">
        <v>240</v>
      </c>
      <c r="G96" s="145">
        <v>13.390649999999999</v>
      </c>
      <c r="H96" s="146">
        <v>46.8</v>
      </c>
      <c r="I96" s="147">
        <v>7.8</v>
      </c>
      <c r="J96" s="137">
        <v>0</v>
      </c>
      <c r="K96" s="138">
        <f t="shared" si="3"/>
        <v>7.8</v>
      </c>
      <c r="L96" s="139">
        <f t="shared" si="4"/>
        <v>46.8</v>
      </c>
      <c r="M96" s="138">
        <f t="shared" si="5"/>
        <v>33.409349999999996</v>
      </c>
    </row>
    <row r="97" spans="1:13" ht="20.100000000000001" customHeight="1" x14ac:dyDescent="0.35">
      <c r="A97" s="40">
        <v>1766</v>
      </c>
      <c r="B97" s="58">
        <v>6</v>
      </c>
      <c r="C97" s="58" t="s">
        <v>64</v>
      </c>
      <c r="D97" s="58" t="s">
        <v>5</v>
      </c>
      <c r="E97" s="64" t="s">
        <v>238</v>
      </c>
      <c r="F97" s="66" t="s">
        <v>241</v>
      </c>
      <c r="G97" s="145">
        <v>13.390649999999999</v>
      </c>
      <c r="H97" s="146">
        <v>46.8</v>
      </c>
      <c r="I97" s="147">
        <v>7.8</v>
      </c>
      <c r="J97" s="137">
        <v>0</v>
      </c>
      <c r="K97" s="138">
        <f t="shared" si="3"/>
        <v>7.8</v>
      </c>
      <c r="L97" s="139">
        <f t="shared" si="4"/>
        <v>46.8</v>
      </c>
      <c r="M97" s="138">
        <f t="shared" si="5"/>
        <v>33.409349999999996</v>
      </c>
    </row>
    <row r="98" spans="1:13" ht="20.100000000000001" customHeight="1" x14ac:dyDescent="0.35">
      <c r="A98" s="40">
        <v>3482</v>
      </c>
      <c r="B98" s="58">
        <v>6</v>
      </c>
      <c r="C98" s="58" t="s">
        <v>65</v>
      </c>
      <c r="D98" s="58" t="s">
        <v>2</v>
      </c>
      <c r="E98" s="64" t="s">
        <v>242</v>
      </c>
      <c r="F98" s="66" t="s">
        <v>243</v>
      </c>
      <c r="G98" s="145">
        <v>13.390649999999999</v>
      </c>
      <c r="H98" s="146">
        <v>34.799999999999997</v>
      </c>
      <c r="I98" s="147">
        <v>5.8</v>
      </c>
      <c r="J98" s="137">
        <v>0</v>
      </c>
      <c r="K98" s="138">
        <f t="shared" si="3"/>
        <v>5.8</v>
      </c>
      <c r="L98" s="139">
        <f t="shared" si="4"/>
        <v>34.799999999999997</v>
      </c>
      <c r="M98" s="138">
        <f t="shared" si="5"/>
        <v>21.409349999999996</v>
      </c>
    </row>
    <row r="99" spans="1:13" ht="20.100000000000001" customHeight="1" x14ac:dyDescent="0.35">
      <c r="A99" s="40">
        <v>3483</v>
      </c>
      <c r="B99" s="58">
        <v>6</v>
      </c>
      <c r="C99" s="58" t="s">
        <v>64</v>
      </c>
      <c r="D99" s="58" t="s">
        <v>2</v>
      </c>
      <c r="E99" s="64" t="s">
        <v>242</v>
      </c>
      <c r="F99" s="66" t="s">
        <v>244</v>
      </c>
      <c r="G99" s="145">
        <v>13.390649999999999</v>
      </c>
      <c r="H99" s="146">
        <v>34.799999999999997</v>
      </c>
      <c r="I99" s="147">
        <v>5.8</v>
      </c>
      <c r="J99" s="137">
        <v>0</v>
      </c>
      <c r="K99" s="138">
        <f t="shared" si="3"/>
        <v>5.8</v>
      </c>
      <c r="L99" s="139">
        <f t="shared" si="4"/>
        <v>34.799999999999997</v>
      </c>
      <c r="M99" s="138">
        <f t="shared" si="5"/>
        <v>21.409349999999996</v>
      </c>
    </row>
    <row r="100" spans="1:13" ht="20.100000000000001" customHeight="1" x14ac:dyDescent="0.35">
      <c r="A100" s="40">
        <v>1221</v>
      </c>
      <c r="B100" s="58">
        <v>6</v>
      </c>
      <c r="C100" s="58" t="s">
        <v>64</v>
      </c>
      <c r="D100" s="58" t="s">
        <v>4</v>
      </c>
      <c r="E100" s="64" t="s">
        <v>23</v>
      </c>
      <c r="F100" s="66" t="s">
        <v>55</v>
      </c>
      <c r="G100" s="145">
        <v>13.390649999999999</v>
      </c>
      <c r="H100" s="146">
        <v>40.799999999999997</v>
      </c>
      <c r="I100" s="147">
        <v>6.8</v>
      </c>
      <c r="J100" s="137">
        <v>0</v>
      </c>
      <c r="K100" s="138">
        <f t="shared" si="3"/>
        <v>6.8</v>
      </c>
      <c r="L100" s="139">
        <f t="shared" si="4"/>
        <v>40.799999999999997</v>
      </c>
      <c r="M100" s="138">
        <f t="shared" si="5"/>
        <v>27.409349999999996</v>
      </c>
    </row>
    <row r="101" spans="1:13" ht="20.100000000000001" customHeight="1" x14ac:dyDescent="0.35">
      <c r="A101" s="40" t="s">
        <v>245</v>
      </c>
      <c r="B101" s="58">
        <v>12</v>
      </c>
      <c r="C101" s="58" t="s">
        <v>64</v>
      </c>
      <c r="D101" s="58" t="s">
        <v>2</v>
      </c>
      <c r="E101" s="64" t="s">
        <v>229</v>
      </c>
      <c r="F101" s="66" t="s">
        <v>246</v>
      </c>
      <c r="G101" s="145">
        <v>26.781299999999998</v>
      </c>
      <c r="H101" s="146">
        <v>157.19999999999999</v>
      </c>
      <c r="I101" s="147">
        <v>13.1</v>
      </c>
      <c r="J101" s="137">
        <v>0</v>
      </c>
      <c r="K101" s="138">
        <f t="shared" si="3"/>
        <v>13.1</v>
      </c>
      <c r="L101" s="139">
        <f t="shared" si="4"/>
        <v>157.19999999999999</v>
      </c>
      <c r="M101" s="138">
        <f t="shared" si="5"/>
        <v>130.4187</v>
      </c>
    </row>
    <row r="102" spans="1:13" ht="20.100000000000001" customHeight="1" x14ac:dyDescent="0.35">
      <c r="A102" s="40" t="s">
        <v>247</v>
      </c>
      <c r="B102" s="58">
        <v>12</v>
      </c>
      <c r="C102" s="58" t="s">
        <v>64</v>
      </c>
      <c r="D102" s="58" t="s">
        <v>3</v>
      </c>
      <c r="E102" s="64" t="s">
        <v>39</v>
      </c>
      <c r="F102" s="66" t="s">
        <v>248</v>
      </c>
      <c r="G102" s="145">
        <v>26.781299999999998</v>
      </c>
      <c r="H102" s="146">
        <v>128.39999999999998</v>
      </c>
      <c r="I102" s="147">
        <v>10.7</v>
      </c>
      <c r="J102" s="137">
        <v>0</v>
      </c>
      <c r="K102" s="138">
        <f t="shared" si="3"/>
        <v>10.7</v>
      </c>
      <c r="L102" s="139">
        <f t="shared" si="4"/>
        <v>128.39999999999998</v>
      </c>
      <c r="M102" s="138">
        <f t="shared" si="5"/>
        <v>101.61869999999998</v>
      </c>
    </row>
    <row r="103" spans="1:13" ht="20.100000000000001" customHeight="1" x14ac:dyDescent="0.35">
      <c r="A103" s="40">
        <v>2067</v>
      </c>
      <c r="B103" s="58">
        <v>6</v>
      </c>
      <c r="C103" s="58" t="s">
        <v>65</v>
      </c>
      <c r="D103" s="58" t="s">
        <v>1</v>
      </c>
      <c r="E103" s="64" t="s">
        <v>44</v>
      </c>
      <c r="F103" s="66" t="s">
        <v>249</v>
      </c>
      <c r="G103" s="145">
        <v>13.390649999999999</v>
      </c>
      <c r="H103" s="146">
        <v>53.400000000000006</v>
      </c>
      <c r="I103" s="147">
        <v>8.9</v>
      </c>
      <c r="J103" s="137">
        <v>0</v>
      </c>
      <c r="K103" s="138">
        <f t="shared" si="3"/>
        <v>8.9</v>
      </c>
      <c r="L103" s="139">
        <f t="shared" si="4"/>
        <v>53.400000000000006</v>
      </c>
      <c r="M103" s="138">
        <f t="shared" si="5"/>
        <v>40.009350000000005</v>
      </c>
    </row>
    <row r="104" spans="1:13" ht="20.100000000000001" customHeight="1" x14ac:dyDescent="0.35">
      <c r="A104" s="40">
        <v>3537</v>
      </c>
      <c r="B104" s="58">
        <v>6</v>
      </c>
      <c r="C104" s="58" t="s">
        <v>65</v>
      </c>
      <c r="D104" s="58" t="s">
        <v>2</v>
      </c>
      <c r="E104" s="64" t="s">
        <v>250</v>
      </c>
      <c r="F104" s="66" t="s">
        <v>251</v>
      </c>
      <c r="G104" s="145">
        <v>13.390649999999999</v>
      </c>
      <c r="H104" s="146">
        <v>53.400000000000006</v>
      </c>
      <c r="I104" s="147">
        <v>8.9</v>
      </c>
      <c r="J104" s="137">
        <v>0</v>
      </c>
      <c r="K104" s="138">
        <f t="shared" si="3"/>
        <v>8.9</v>
      </c>
      <c r="L104" s="139">
        <f t="shared" si="4"/>
        <v>53.400000000000006</v>
      </c>
      <c r="M104" s="138">
        <f t="shared" si="5"/>
        <v>40.009350000000005</v>
      </c>
    </row>
    <row r="105" spans="1:13" ht="20.100000000000001" customHeight="1" x14ac:dyDescent="0.35">
      <c r="A105" s="40">
        <v>3064</v>
      </c>
      <c r="B105" s="58">
        <v>12</v>
      </c>
      <c r="C105" s="58" t="s">
        <v>64</v>
      </c>
      <c r="D105" s="58" t="s">
        <v>3</v>
      </c>
      <c r="E105" s="64" t="s">
        <v>252</v>
      </c>
      <c r="F105" s="66" t="s">
        <v>253</v>
      </c>
      <c r="G105" s="145">
        <v>26.781299999999998</v>
      </c>
      <c r="H105" s="146">
        <v>79.199999999999989</v>
      </c>
      <c r="I105" s="147">
        <v>6.6</v>
      </c>
      <c r="J105" s="137">
        <v>0</v>
      </c>
      <c r="K105" s="138">
        <f t="shared" si="3"/>
        <v>6.6</v>
      </c>
      <c r="L105" s="139">
        <f t="shared" si="4"/>
        <v>79.199999999999989</v>
      </c>
      <c r="M105" s="138">
        <f t="shared" si="5"/>
        <v>52.418699999999987</v>
      </c>
    </row>
    <row r="106" spans="1:13" ht="20.100000000000001" customHeight="1" x14ac:dyDescent="0.35">
      <c r="A106" s="40">
        <v>3254</v>
      </c>
      <c r="B106" s="58">
        <v>6</v>
      </c>
      <c r="C106" s="58" t="s">
        <v>64</v>
      </c>
      <c r="D106" s="58" t="s">
        <v>0</v>
      </c>
      <c r="E106" s="64" t="s">
        <v>254</v>
      </c>
      <c r="F106" s="66" t="s">
        <v>255</v>
      </c>
      <c r="G106" s="145">
        <v>13.390649999999999</v>
      </c>
      <c r="H106" s="146">
        <v>64.199999999999989</v>
      </c>
      <c r="I106" s="147">
        <v>10.7</v>
      </c>
      <c r="J106" s="137">
        <v>0</v>
      </c>
      <c r="K106" s="138">
        <f t="shared" si="3"/>
        <v>10.7</v>
      </c>
      <c r="L106" s="139">
        <f t="shared" si="4"/>
        <v>64.199999999999989</v>
      </c>
      <c r="M106" s="138">
        <f t="shared" si="5"/>
        <v>50.809349999999988</v>
      </c>
    </row>
    <row r="107" spans="1:13" ht="20.100000000000001" customHeight="1" x14ac:dyDescent="0.35">
      <c r="A107" s="40">
        <v>3255</v>
      </c>
      <c r="B107" s="58">
        <v>6</v>
      </c>
      <c r="C107" s="58" t="s">
        <v>65</v>
      </c>
      <c r="D107" s="58" t="s">
        <v>0</v>
      </c>
      <c r="E107" s="64" t="s">
        <v>254</v>
      </c>
      <c r="F107" s="66" t="s">
        <v>256</v>
      </c>
      <c r="G107" s="145">
        <v>13.390649999999999</v>
      </c>
      <c r="H107" s="146">
        <v>64.199999999999989</v>
      </c>
      <c r="I107" s="147">
        <v>10.7</v>
      </c>
      <c r="J107" s="137">
        <v>0</v>
      </c>
      <c r="K107" s="138">
        <f t="shared" si="3"/>
        <v>10.7</v>
      </c>
      <c r="L107" s="139">
        <f t="shared" si="4"/>
        <v>64.199999999999989</v>
      </c>
      <c r="M107" s="138">
        <f t="shared" si="5"/>
        <v>50.809349999999988</v>
      </c>
    </row>
    <row r="108" spans="1:13" ht="20.100000000000001" customHeight="1" x14ac:dyDescent="0.35">
      <c r="A108" s="40">
        <v>1837</v>
      </c>
      <c r="B108" s="58">
        <v>6</v>
      </c>
      <c r="C108" s="58" t="s">
        <v>67</v>
      </c>
      <c r="D108" s="58" t="s">
        <v>0</v>
      </c>
      <c r="E108" s="64" t="s">
        <v>193</v>
      </c>
      <c r="F108" s="66" t="s">
        <v>257</v>
      </c>
      <c r="G108" s="145">
        <v>17.15175</v>
      </c>
      <c r="H108" s="146">
        <v>50.400000000000006</v>
      </c>
      <c r="I108" s="147">
        <v>8.4</v>
      </c>
      <c r="J108" s="137">
        <v>0</v>
      </c>
      <c r="K108" s="138">
        <f t="shared" si="3"/>
        <v>8.4</v>
      </c>
      <c r="L108" s="139">
        <f t="shared" si="4"/>
        <v>50.400000000000006</v>
      </c>
      <c r="M108" s="138">
        <f t="shared" si="5"/>
        <v>33.248250000000006</v>
      </c>
    </row>
    <row r="109" spans="1:13" ht="20.100000000000001" customHeight="1" x14ac:dyDescent="0.35">
      <c r="A109" s="40" t="s">
        <v>258</v>
      </c>
      <c r="B109" s="58">
        <v>6</v>
      </c>
      <c r="C109" s="58" t="s">
        <v>64</v>
      </c>
      <c r="D109" s="58" t="s">
        <v>0</v>
      </c>
      <c r="E109" s="64" t="s">
        <v>193</v>
      </c>
      <c r="F109" s="66" t="s">
        <v>259</v>
      </c>
      <c r="G109" s="145">
        <v>13.390649999999999</v>
      </c>
      <c r="H109" s="146">
        <v>57.599999999999994</v>
      </c>
      <c r="I109" s="147">
        <v>9.6</v>
      </c>
      <c r="J109" s="137">
        <v>0</v>
      </c>
      <c r="K109" s="138">
        <f t="shared" si="3"/>
        <v>9.6</v>
      </c>
      <c r="L109" s="139">
        <f t="shared" si="4"/>
        <v>57.599999999999994</v>
      </c>
      <c r="M109" s="138">
        <f t="shared" si="5"/>
        <v>44.209349999999993</v>
      </c>
    </row>
    <row r="110" spans="1:13" ht="20.100000000000001" customHeight="1" x14ac:dyDescent="0.35">
      <c r="A110" s="40">
        <v>1841</v>
      </c>
      <c r="B110" s="58">
        <v>6</v>
      </c>
      <c r="C110" s="58" t="s">
        <v>67</v>
      </c>
      <c r="D110" s="58" t="s">
        <v>0</v>
      </c>
      <c r="E110" s="64" t="s">
        <v>193</v>
      </c>
      <c r="F110" s="66" t="s">
        <v>260</v>
      </c>
      <c r="G110" s="145">
        <v>17.15175</v>
      </c>
      <c r="H110" s="146">
        <v>61.199999999999996</v>
      </c>
      <c r="I110" s="147">
        <v>10.199999999999999</v>
      </c>
      <c r="J110" s="137">
        <v>0</v>
      </c>
      <c r="K110" s="138">
        <f t="shared" si="3"/>
        <v>10.199999999999999</v>
      </c>
      <c r="L110" s="139">
        <f t="shared" si="4"/>
        <v>61.199999999999996</v>
      </c>
      <c r="M110" s="138">
        <f t="shared" si="5"/>
        <v>44.048249999999996</v>
      </c>
    </row>
    <row r="111" spans="1:13" ht="20.100000000000001" customHeight="1" x14ac:dyDescent="0.35">
      <c r="A111" s="40">
        <v>1847</v>
      </c>
      <c r="B111" s="58">
        <v>3</v>
      </c>
      <c r="C111" s="58" t="s">
        <v>67</v>
      </c>
      <c r="D111" s="58" t="s">
        <v>1</v>
      </c>
      <c r="E111" s="64" t="s">
        <v>119</v>
      </c>
      <c r="F111" s="66" t="s">
        <v>261</v>
      </c>
      <c r="G111" s="145">
        <v>17.15175</v>
      </c>
      <c r="H111" s="146">
        <v>143.10000000000002</v>
      </c>
      <c r="I111" s="147">
        <v>47.7</v>
      </c>
      <c r="J111" s="137">
        <v>0</v>
      </c>
      <c r="K111" s="138">
        <f t="shared" si="3"/>
        <v>47.7</v>
      </c>
      <c r="L111" s="139">
        <f t="shared" si="4"/>
        <v>143.10000000000002</v>
      </c>
      <c r="M111" s="138">
        <f t="shared" si="5"/>
        <v>125.94825000000003</v>
      </c>
    </row>
    <row r="112" spans="1:13" ht="20.100000000000001" customHeight="1" x14ac:dyDescent="0.35">
      <c r="A112" s="40" t="s">
        <v>262</v>
      </c>
      <c r="B112" s="58">
        <v>6</v>
      </c>
      <c r="C112" s="58" t="s">
        <v>64</v>
      </c>
      <c r="D112" s="58" t="s">
        <v>0</v>
      </c>
      <c r="E112" s="64" t="s">
        <v>193</v>
      </c>
      <c r="F112" s="66" t="s">
        <v>263</v>
      </c>
      <c r="G112" s="145">
        <v>13.390649999999999</v>
      </c>
      <c r="H112" s="146">
        <v>39.599999999999994</v>
      </c>
      <c r="I112" s="147">
        <v>6.6</v>
      </c>
      <c r="J112" s="137">
        <v>0</v>
      </c>
      <c r="K112" s="138">
        <f t="shared" si="3"/>
        <v>6.6</v>
      </c>
      <c r="L112" s="139">
        <f t="shared" si="4"/>
        <v>39.599999999999994</v>
      </c>
      <c r="M112" s="138">
        <f t="shared" si="5"/>
        <v>26.209349999999993</v>
      </c>
    </row>
    <row r="113" spans="1:13" ht="20.100000000000001" customHeight="1" x14ac:dyDescent="0.35">
      <c r="A113" s="40">
        <v>3502</v>
      </c>
      <c r="B113" s="58">
        <v>12</v>
      </c>
      <c r="C113" s="58" t="s">
        <v>65</v>
      </c>
      <c r="D113" s="58" t="s">
        <v>2</v>
      </c>
      <c r="E113" s="64" t="s">
        <v>42</v>
      </c>
      <c r="F113" s="66" t="s">
        <v>264</v>
      </c>
      <c r="G113" s="145">
        <v>26.781299999999998</v>
      </c>
      <c r="H113" s="146">
        <v>184.8</v>
      </c>
      <c r="I113" s="147">
        <v>15.4</v>
      </c>
      <c r="J113" s="137">
        <v>0</v>
      </c>
      <c r="K113" s="138">
        <f t="shared" si="3"/>
        <v>15.4</v>
      </c>
      <c r="L113" s="139">
        <f t="shared" si="4"/>
        <v>184.8</v>
      </c>
      <c r="M113" s="138">
        <f t="shared" si="5"/>
        <v>158.01870000000002</v>
      </c>
    </row>
    <row r="114" spans="1:13" ht="20.100000000000001" customHeight="1" x14ac:dyDescent="0.35">
      <c r="A114" s="40">
        <v>1846</v>
      </c>
      <c r="B114" s="58">
        <v>24</v>
      </c>
      <c r="C114" s="58" t="s">
        <v>67</v>
      </c>
      <c r="D114" s="58" t="s">
        <v>1</v>
      </c>
      <c r="E114" s="64" t="s">
        <v>119</v>
      </c>
      <c r="F114" s="66" t="s">
        <v>265</v>
      </c>
      <c r="G114" s="145">
        <v>17.106012</v>
      </c>
      <c r="H114" s="146">
        <v>206.39999999999998</v>
      </c>
      <c r="I114" s="147">
        <v>8.6</v>
      </c>
      <c r="J114" s="137">
        <v>0</v>
      </c>
      <c r="K114" s="138">
        <f t="shared" si="3"/>
        <v>8.6</v>
      </c>
      <c r="L114" s="139">
        <f t="shared" si="4"/>
        <v>206.39999999999998</v>
      </c>
      <c r="M114" s="138">
        <f t="shared" si="5"/>
        <v>189.29398799999998</v>
      </c>
    </row>
    <row r="115" spans="1:13" ht="20.100000000000001" customHeight="1" x14ac:dyDescent="0.35">
      <c r="A115" s="40">
        <v>2083</v>
      </c>
      <c r="B115" s="58">
        <v>6</v>
      </c>
      <c r="C115" s="58" t="s">
        <v>64</v>
      </c>
      <c r="D115" s="58" t="s">
        <v>1</v>
      </c>
      <c r="E115" s="64" t="s">
        <v>101</v>
      </c>
      <c r="F115" s="66" t="s">
        <v>266</v>
      </c>
      <c r="G115" s="145">
        <v>13.390649999999999</v>
      </c>
      <c r="H115" s="146">
        <v>51.599999999999994</v>
      </c>
      <c r="I115" s="147">
        <v>8.6</v>
      </c>
      <c r="J115" s="137">
        <v>0</v>
      </c>
      <c r="K115" s="138">
        <f t="shared" si="3"/>
        <v>8.6</v>
      </c>
      <c r="L115" s="139">
        <f t="shared" si="4"/>
        <v>51.599999999999994</v>
      </c>
      <c r="M115" s="138">
        <f t="shared" si="5"/>
        <v>38.209349999999993</v>
      </c>
    </row>
    <row r="116" spans="1:13" ht="20.100000000000001" customHeight="1" x14ac:dyDescent="0.35">
      <c r="A116" s="40">
        <v>3146</v>
      </c>
      <c r="B116" s="58">
        <v>6</v>
      </c>
      <c r="C116" s="58" t="s">
        <v>64</v>
      </c>
      <c r="D116" s="58" t="s">
        <v>2</v>
      </c>
      <c r="E116" s="64" t="s">
        <v>267</v>
      </c>
      <c r="F116" s="66" t="s">
        <v>268</v>
      </c>
      <c r="G116" s="145">
        <v>13.390649999999999</v>
      </c>
      <c r="H116" s="146">
        <v>51.599999999999994</v>
      </c>
      <c r="I116" s="147">
        <v>8.6</v>
      </c>
      <c r="J116" s="137">
        <v>0</v>
      </c>
      <c r="K116" s="138">
        <f t="shared" si="3"/>
        <v>8.6</v>
      </c>
      <c r="L116" s="139">
        <f t="shared" si="4"/>
        <v>51.599999999999994</v>
      </c>
      <c r="M116" s="138">
        <f t="shared" si="5"/>
        <v>38.209349999999993</v>
      </c>
    </row>
    <row r="117" spans="1:13" ht="20.100000000000001" customHeight="1" x14ac:dyDescent="0.35">
      <c r="A117" s="40">
        <v>1850</v>
      </c>
      <c r="B117" s="58">
        <v>6</v>
      </c>
      <c r="C117" s="58" t="s">
        <v>67</v>
      </c>
      <c r="D117" s="58" t="s">
        <v>1</v>
      </c>
      <c r="E117" s="64" t="s">
        <v>119</v>
      </c>
      <c r="F117" s="66" t="s">
        <v>269</v>
      </c>
      <c r="G117" s="145">
        <v>17.15175</v>
      </c>
      <c r="H117" s="146">
        <v>136.19999999999999</v>
      </c>
      <c r="I117" s="147">
        <v>22.7</v>
      </c>
      <c r="J117" s="137">
        <v>0</v>
      </c>
      <c r="K117" s="138">
        <f t="shared" si="3"/>
        <v>22.7</v>
      </c>
      <c r="L117" s="139">
        <f t="shared" si="4"/>
        <v>136.19999999999999</v>
      </c>
      <c r="M117" s="138">
        <f t="shared" si="5"/>
        <v>119.04825</v>
      </c>
    </row>
    <row r="118" spans="1:13" ht="20.100000000000001" customHeight="1" x14ac:dyDescent="0.35">
      <c r="A118" s="40" t="s">
        <v>270</v>
      </c>
      <c r="B118" s="58">
        <v>6</v>
      </c>
      <c r="C118" s="58" t="s">
        <v>67</v>
      </c>
      <c r="D118" s="58" t="s">
        <v>1</v>
      </c>
      <c r="E118" s="64" t="s">
        <v>119</v>
      </c>
      <c r="F118" s="66" t="s">
        <v>271</v>
      </c>
      <c r="G118" s="145">
        <v>17.15175</v>
      </c>
      <c r="H118" s="146">
        <v>136.19999999999999</v>
      </c>
      <c r="I118" s="147">
        <v>22.7</v>
      </c>
      <c r="J118" s="137">
        <v>0</v>
      </c>
      <c r="K118" s="138">
        <f t="shared" si="3"/>
        <v>22.7</v>
      </c>
      <c r="L118" s="139">
        <f t="shared" si="4"/>
        <v>136.19999999999999</v>
      </c>
      <c r="M118" s="138">
        <f t="shared" si="5"/>
        <v>119.04825</v>
      </c>
    </row>
    <row r="119" spans="1:13" ht="20.100000000000001" customHeight="1" x14ac:dyDescent="0.35">
      <c r="A119" s="40">
        <v>1858</v>
      </c>
      <c r="B119" s="58">
        <v>6</v>
      </c>
      <c r="C119" s="58" t="s">
        <v>67</v>
      </c>
      <c r="D119" s="58" t="s">
        <v>1</v>
      </c>
      <c r="E119" s="64" t="s">
        <v>119</v>
      </c>
      <c r="F119" s="66" t="s">
        <v>272</v>
      </c>
      <c r="G119" s="145">
        <v>17.15175</v>
      </c>
      <c r="H119" s="146">
        <v>156.60000000000002</v>
      </c>
      <c r="I119" s="147">
        <v>26.1</v>
      </c>
      <c r="J119" s="137">
        <v>0</v>
      </c>
      <c r="K119" s="138">
        <f t="shared" si="3"/>
        <v>26.1</v>
      </c>
      <c r="L119" s="139">
        <f t="shared" si="4"/>
        <v>156.60000000000002</v>
      </c>
      <c r="M119" s="138">
        <f t="shared" si="5"/>
        <v>139.44825000000003</v>
      </c>
    </row>
    <row r="120" spans="1:13" ht="20.100000000000001" customHeight="1" x14ac:dyDescent="0.35">
      <c r="A120" s="40">
        <v>1844</v>
      </c>
      <c r="B120" s="58">
        <v>6</v>
      </c>
      <c r="C120" s="58" t="s">
        <v>67</v>
      </c>
      <c r="D120" s="58" t="s">
        <v>0</v>
      </c>
      <c r="E120" s="64" t="s">
        <v>193</v>
      </c>
      <c r="F120" s="66" t="s">
        <v>273</v>
      </c>
      <c r="G120" s="145">
        <v>17.15175</v>
      </c>
      <c r="H120" s="146">
        <v>52.800000000000004</v>
      </c>
      <c r="I120" s="147">
        <v>8.8000000000000007</v>
      </c>
      <c r="J120" s="137">
        <v>0</v>
      </c>
      <c r="K120" s="138">
        <f t="shared" si="3"/>
        <v>8.8000000000000007</v>
      </c>
      <c r="L120" s="139">
        <f t="shared" si="4"/>
        <v>52.800000000000004</v>
      </c>
      <c r="M120" s="138">
        <f t="shared" si="5"/>
        <v>35.648250000000004</v>
      </c>
    </row>
    <row r="121" spans="1:13" ht="20.100000000000001" customHeight="1" x14ac:dyDescent="0.35">
      <c r="A121" s="40" t="s">
        <v>274</v>
      </c>
      <c r="B121" s="58">
        <v>12</v>
      </c>
      <c r="C121" s="58" t="s">
        <v>65</v>
      </c>
      <c r="D121" s="58" t="s">
        <v>1</v>
      </c>
      <c r="E121" s="64" t="s">
        <v>154</v>
      </c>
      <c r="F121" s="66" t="s">
        <v>275</v>
      </c>
      <c r="G121" s="145">
        <v>26.781299999999998</v>
      </c>
      <c r="H121" s="146">
        <v>124.80000000000001</v>
      </c>
      <c r="I121" s="147">
        <v>10.4</v>
      </c>
      <c r="J121" s="137">
        <v>0</v>
      </c>
      <c r="K121" s="138">
        <f t="shared" si="3"/>
        <v>10.4</v>
      </c>
      <c r="L121" s="139">
        <f t="shared" si="4"/>
        <v>124.80000000000001</v>
      </c>
      <c r="M121" s="138">
        <f t="shared" si="5"/>
        <v>98.01870000000001</v>
      </c>
    </row>
    <row r="122" spans="1:13" ht="20.100000000000001" customHeight="1" x14ac:dyDescent="0.35">
      <c r="A122" s="40">
        <v>1849</v>
      </c>
      <c r="B122" s="58">
        <v>1</v>
      </c>
      <c r="C122" s="58" t="s">
        <v>67</v>
      </c>
      <c r="D122" s="58" t="s">
        <v>1</v>
      </c>
      <c r="E122" s="64" t="s">
        <v>119</v>
      </c>
      <c r="F122" s="66" t="s">
        <v>276</v>
      </c>
      <c r="G122" s="145">
        <v>11.4345</v>
      </c>
      <c r="H122" s="146">
        <v>134</v>
      </c>
      <c r="I122" s="147">
        <v>134</v>
      </c>
      <c r="J122" s="137">
        <v>0</v>
      </c>
      <c r="K122" s="138">
        <f t="shared" si="3"/>
        <v>134</v>
      </c>
      <c r="L122" s="139">
        <f t="shared" si="4"/>
        <v>134</v>
      </c>
      <c r="M122" s="138">
        <f t="shared" si="5"/>
        <v>122.5655</v>
      </c>
    </row>
    <row r="123" spans="1:13" ht="20.100000000000001" customHeight="1" x14ac:dyDescent="0.35">
      <c r="A123" s="40">
        <v>3160</v>
      </c>
      <c r="B123" s="58">
        <v>12</v>
      </c>
      <c r="C123" s="58" t="s">
        <v>64</v>
      </c>
      <c r="D123" s="58" t="s">
        <v>2</v>
      </c>
      <c r="E123" s="64" t="s">
        <v>42</v>
      </c>
      <c r="F123" s="66" t="s">
        <v>277</v>
      </c>
      <c r="G123" s="145">
        <v>26.781299999999998</v>
      </c>
      <c r="H123" s="146">
        <v>80.400000000000006</v>
      </c>
      <c r="I123" s="147">
        <v>7.1</v>
      </c>
      <c r="J123" s="137">
        <v>0</v>
      </c>
      <c r="K123" s="138">
        <f t="shared" si="3"/>
        <v>7.1</v>
      </c>
      <c r="L123" s="139">
        <f t="shared" si="4"/>
        <v>85.199999999999989</v>
      </c>
      <c r="M123" s="138">
        <f t="shared" si="5"/>
        <v>58.418699999999987</v>
      </c>
    </row>
    <row r="124" spans="1:13" ht="20.100000000000001" customHeight="1" x14ac:dyDescent="0.35">
      <c r="A124" s="40">
        <v>3206</v>
      </c>
      <c r="B124" s="58">
        <v>6</v>
      </c>
      <c r="C124" s="58" t="s">
        <v>65</v>
      </c>
      <c r="D124" s="58" t="s">
        <v>0</v>
      </c>
      <c r="E124" s="64" t="s">
        <v>193</v>
      </c>
      <c r="F124" s="66" t="s">
        <v>278</v>
      </c>
      <c r="G124" s="145">
        <v>13.390649999999999</v>
      </c>
      <c r="H124" s="146">
        <v>50.400000000000006</v>
      </c>
      <c r="I124" s="147">
        <v>8.4</v>
      </c>
      <c r="J124" s="137">
        <v>0</v>
      </c>
      <c r="K124" s="138">
        <f t="shared" si="3"/>
        <v>8.4</v>
      </c>
      <c r="L124" s="139">
        <f t="shared" si="4"/>
        <v>50.400000000000006</v>
      </c>
      <c r="M124" s="138">
        <f t="shared" si="5"/>
        <v>37.009350000000005</v>
      </c>
    </row>
    <row r="125" spans="1:13" ht="20.100000000000001" customHeight="1" x14ac:dyDescent="0.35">
      <c r="A125" s="40">
        <v>2315</v>
      </c>
      <c r="B125" s="58">
        <v>12</v>
      </c>
      <c r="C125" s="58" t="s">
        <v>65</v>
      </c>
      <c r="D125" s="58" t="s">
        <v>1</v>
      </c>
      <c r="E125" s="64" t="s">
        <v>110</v>
      </c>
      <c r="F125" s="66" t="s">
        <v>279</v>
      </c>
      <c r="G125" s="145">
        <v>26.781299999999998</v>
      </c>
      <c r="H125" s="146">
        <v>220.79999999999998</v>
      </c>
      <c r="I125" s="147">
        <v>18.399999999999999</v>
      </c>
      <c r="J125" s="137">
        <v>0</v>
      </c>
      <c r="K125" s="138">
        <f t="shared" si="3"/>
        <v>18.399999999999999</v>
      </c>
      <c r="L125" s="139">
        <f t="shared" si="4"/>
        <v>220.79999999999998</v>
      </c>
      <c r="M125" s="138">
        <f t="shared" si="5"/>
        <v>194.0187</v>
      </c>
    </row>
    <row r="126" spans="1:13" ht="20.100000000000001" customHeight="1" x14ac:dyDescent="0.35">
      <c r="A126" s="40">
        <v>3536</v>
      </c>
      <c r="B126" s="58">
        <v>6</v>
      </c>
      <c r="C126" s="58" t="s">
        <v>65</v>
      </c>
      <c r="D126" s="58" t="s">
        <v>2</v>
      </c>
      <c r="E126" s="64" t="s">
        <v>41</v>
      </c>
      <c r="F126" s="66" t="s">
        <v>280</v>
      </c>
      <c r="G126" s="145">
        <v>13.390649999999999</v>
      </c>
      <c r="H126" s="146">
        <v>69.599999999999994</v>
      </c>
      <c r="I126" s="147">
        <v>11.6</v>
      </c>
      <c r="J126" s="137">
        <v>0</v>
      </c>
      <c r="K126" s="138">
        <f t="shared" si="3"/>
        <v>11.6</v>
      </c>
      <c r="L126" s="139">
        <f t="shared" si="4"/>
        <v>69.599999999999994</v>
      </c>
      <c r="M126" s="138">
        <f t="shared" si="5"/>
        <v>56.209349999999993</v>
      </c>
    </row>
    <row r="127" spans="1:13" ht="20.100000000000001" customHeight="1" x14ac:dyDescent="0.35">
      <c r="A127" s="40">
        <v>1861</v>
      </c>
      <c r="B127" s="58">
        <v>6</v>
      </c>
      <c r="C127" s="58" t="s">
        <v>67</v>
      </c>
      <c r="D127" s="58" t="s">
        <v>1</v>
      </c>
      <c r="E127" s="64" t="s">
        <v>119</v>
      </c>
      <c r="F127" s="66" t="s">
        <v>281</v>
      </c>
      <c r="G127" s="145">
        <v>17.15175</v>
      </c>
      <c r="H127" s="146">
        <v>148.19999999999999</v>
      </c>
      <c r="I127" s="147">
        <v>24.7</v>
      </c>
      <c r="J127" s="137">
        <v>0</v>
      </c>
      <c r="K127" s="138">
        <f t="shared" si="3"/>
        <v>24.7</v>
      </c>
      <c r="L127" s="139">
        <f t="shared" si="4"/>
        <v>148.19999999999999</v>
      </c>
      <c r="M127" s="138">
        <f t="shared" si="5"/>
        <v>131.04825</v>
      </c>
    </row>
    <row r="128" spans="1:13" ht="20.100000000000001" customHeight="1" x14ac:dyDescent="0.35">
      <c r="A128" s="40">
        <v>2663</v>
      </c>
      <c r="B128" s="58">
        <v>12</v>
      </c>
      <c r="C128" s="58" t="s">
        <v>168</v>
      </c>
      <c r="D128" s="58" t="s">
        <v>1</v>
      </c>
      <c r="E128" s="64" t="s">
        <v>154</v>
      </c>
      <c r="F128" s="66" t="s">
        <v>282</v>
      </c>
      <c r="G128" s="145">
        <v>26.781299999999998</v>
      </c>
      <c r="H128" s="146">
        <v>153.60000000000002</v>
      </c>
      <c r="I128" s="147">
        <v>12.8</v>
      </c>
      <c r="J128" s="137">
        <v>0</v>
      </c>
      <c r="K128" s="138">
        <f t="shared" si="3"/>
        <v>12.8</v>
      </c>
      <c r="L128" s="139">
        <f t="shared" si="4"/>
        <v>153.60000000000002</v>
      </c>
      <c r="M128" s="138">
        <f t="shared" si="5"/>
        <v>126.81870000000002</v>
      </c>
    </row>
    <row r="129" spans="1:13" ht="20.100000000000001" customHeight="1" x14ac:dyDescent="0.35">
      <c r="A129" s="40">
        <v>3535</v>
      </c>
      <c r="B129" s="58">
        <v>6</v>
      </c>
      <c r="C129" s="58" t="s">
        <v>65</v>
      </c>
      <c r="D129" s="58" t="s">
        <v>2</v>
      </c>
      <c r="E129" s="64" t="s">
        <v>41</v>
      </c>
      <c r="F129" s="66" t="s">
        <v>62</v>
      </c>
      <c r="G129" s="145">
        <v>13.390649999999999</v>
      </c>
      <c r="H129" s="146">
        <v>58.800000000000004</v>
      </c>
      <c r="I129" s="147">
        <v>9.8000000000000007</v>
      </c>
      <c r="J129" s="137">
        <v>0</v>
      </c>
      <c r="K129" s="138">
        <f t="shared" si="3"/>
        <v>9.8000000000000007</v>
      </c>
      <c r="L129" s="139">
        <f t="shared" si="4"/>
        <v>58.800000000000004</v>
      </c>
      <c r="M129" s="138">
        <f t="shared" si="5"/>
        <v>45.409350000000003</v>
      </c>
    </row>
    <row r="130" spans="1:13" ht="20.100000000000001" customHeight="1" x14ac:dyDescent="0.35">
      <c r="A130" s="40">
        <v>2115</v>
      </c>
      <c r="B130" s="58">
        <v>6</v>
      </c>
      <c r="C130" s="58" t="s">
        <v>65</v>
      </c>
      <c r="D130" s="58" t="s">
        <v>1</v>
      </c>
      <c r="E130" s="64" t="s">
        <v>44</v>
      </c>
      <c r="F130" s="66" t="s">
        <v>283</v>
      </c>
      <c r="G130" s="145">
        <v>13.390649999999999</v>
      </c>
      <c r="H130" s="146">
        <v>57.599999999999994</v>
      </c>
      <c r="I130" s="147">
        <v>9.6</v>
      </c>
      <c r="J130" s="137">
        <v>0</v>
      </c>
      <c r="K130" s="138">
        <f t="shared" si="3"/>
        <v>9.6</v>
      </c>
      <c r="L130" s="139">
        <f t="shared" si="4"/>
        <v>57.599999999999994</v>
      </c>
      <c r="M130" s="138">
        <f t="shared" si="5"/>
        <v>44.209349999999993</v>
      </c>
    </row>
    <row r="131" spans="1:13" ht="20.100000000000001" customHeight="1" x14ac:dyDescent="0.35">
      <c r="A131" s="40">
        <v>1826</v>
      </c>
      <c r="B131" s="58">
        <v>24</v>
      </c>
      <c r="C131" s="58" t="s">
        <v>67</v>
      </c>
      <c r="D131" s="58" t="s">
        <v>0</v>
      </c>
      <c r="E131" s="64" t="s">
        <v>193</v>
      </c>
      <c r="F131" s="66" t="s">
        <v>284</v>
      </c>
      <c r="G131" s="145">
        <v>18.295200000000005</v>
      </c>
      <c r="H131" s="146">
        <v>72</v>
      </c>
      <c r="I131" s="147">
        <v>3</v>
      </c>
      <c r="J131" s="137">
        <v>0</v>
      </c>
      <c r="K131" s="138">
        <f t="shared" si="3"/>
        <v>3</v>
      </c>
      <c r="L131" s="139">
        <f t="shared" si="4"/>
        <v>72</v>
      </c>
      <c r="M131" s="138">
        <f t="shared" si="5"/>
        <v>53.704799999999992</v>
      </c>
    </row>
    <row r="132" spans="1:13" ht="20.100000000000001" customHeight="1" x14ac:dyDescent="0.35">
      <c r="A132" s="40">
        <v>1843</v>
      </c>
      <c r="B132" s="58">
        <v>24</v>
      </c>
      <c r="C132" s="58" t="s">
        <v>67</v>
      </c>
      <c r="D132" s="58" t="s">
        <v>0</v>
      </c>
      <c r="E132" s="64" t="s">
        <v>193</v>
      </c>
      <c r="F132" s="66" t="s">
        <v>285</v>
      </c>
      <c r="G132" s="145">
        <v>18.295200000000005</v>
      </c>
      <c r="H132" s="146">
        <v>72</v>
      </c>
      <c r="I132" s="147">
        <v>3</v>
      </c>
      <c r="J132" s="137">
        <v>0</v>
      </c>
      <c r="K132" s="138">
        <f t="shared" ref="K132:K195" si="6">SUM(I132*(1-J132))</f>
        <v>3</v>
      </c>
      <c r="L132" s="139">
        <f t="shared" ref="L132:L195" si="7">K132*B132</f>
        <v>72</v>
      </c>
      <c r="M132" s="138">
        <f t="shared" ref="M132:M195" si="8">L132-G132</f>
        <v>53.704799999999992</v>
      </c>
    </row>
    <row r="133" spans="1:13" ht="20.100000000000001" customHeight="1" x14ac:dyDescent="0.35">
      <c r="A133" s="40" t="s">
        <v>286</v>
      </c>
      <c r="B133" s="58">
        <v>24</v>
      </c>
      <c r="C133" s="58" t="s">
        <v>67</v>
      </c>
      <c r="D133" s="58" t="s">
        <v>0</v>
      </c>
      <c r="E133" s="64" t="s">
        <v>193</v>
      </c>
      <c r="F133" s="66" t="s">
        <v>287</v>
      </c>
      <c r="G133" s="145">
        <v>18.295200000000005</v>
      </c>
      <c r="H133" s="146">
        <v>72</v>
      </c>
      <c r="I133" s="147">
        <v>3</v>
      </c>
      <c r="J133" s="137">
        <v>0</v>
      </c>
      <c r="K133" s="138">
        <f t="shared" si="6"/>
        <v>3</v>
      </c>
      <c r="L133" s="139">
        <f t="shared" si="7"/>
        <v>72</v>
      </c>
      <c r="M133" s="138">
        <f t="shared" si="8"/>
        <v>53.704799999999992</v>
      </c>
    </row>
    <row r="134" spans="1:13" ht="20.100000000000001" customHeight="1" x14ac:dyDescent="0.35">
      <c r="A134" s="40">
        <v>2852</v>
      </c>
      <c r="B134" s="58">
        <v>6</v>
      </c>
      <c r="C134" s="58" t="s">
        <v>65</v>
      </c>
      <c r="D134" s="58" t="s">
        <v>288</v>
      </c>
      <c r="E134" s="64" t="s">
        <v>289</v>
      </c>
      <c r="F134" s="66" t="s">
        <v>290</v>
      </c>
      <c r="G134" s="145">
        <v>13.390649999999999</v>
      </c>
      <c r="H134" s="146">
        <v>46.8</v>
      </c>
      <c r="I134" s="147">
        <v>7.8</v>
      </c>
      <c r="J134" s="137">
        <v>0</v>
      </c>
      <c r="K134" s="138">
        <f t="shared" si="6"/>
        <v>7.8</v>
      </c>
      <c r="L134" s="139">
        <f t="shared" si="7"/>
        <v>46.8</v>
      </c>
      <c r="M134" s="138">
        <f t="shared" si="8"/>
        <v>33.409349999999996</v>
      </c>
    </row>
    <row r="135" spans="1:13" ht="20.100000000000001" customHeight="1" x14ac:dyDescent="0.35">
      <c r="A135" s="40">
        <v>1838</v>
      </c>
      <c r="B135" s="58">
        <v>6</v>
      </c>
      <c r="C135" s="58" t="s">
        <v>67</v>
      </c>
      <c r="D135" s="58" t="s">
        <v>3</v>
      </c>
      <c r="E135" s="64" t="s">
        <v>39</v>
      </c>
      <c r="F135" s="66" t="s">
        <v>291</v>
      </c>
      <c r="G135" s="145">
        <v>17.15175</v>
      </c>
      <c r="H135" s="146">
        <v>62.400000000000006</v>
      </c>
      <c r="I135" s="147">
        <v>10.4</v>
      </c>
      <c r="J135" s="137">
        <v>0</v>
      </c>
      <c r="K135" s="138">
        <f t="shared" si="6"/>
        <v>10.4</v>
      </c>
      <c r="L135" s="139">
        <f t="shared" si="7"/>
        <v>62.400000000000006</v>
      </c>
      <c r="M135" s="138">
        <f t="shared" si="8"/>
        <v>45.248250000000006</v>
      </c>
    </row>
    <row r="136" spans="1:13" ht="20.100000000000001" customHeight="1" x14ac:dyDescent="0.35">
      <c r="A136" s="40" t="s">
        <v>292</v>
      </c>
      <c r="B136" s="58">
        <v>6</v>
      </c>
      <c r="C136" s="58" t="s">
        <v>67</v>
      </c>
      <c r="D136" s="58" t="s">
        <v>0</v>
      </c>
      <c r="E136" s="64" t="s">
        <v>193</v>
      </c>
      <c r="F136" s="66" t="s">
        <v>293</v>
      </c>
      <c r="G136" s="145">
        <v>34.3035</v>
      </c>
      <c r="H136" s="146">
        <v>108.60000000000001</v>
      </c>
      <c r="I136" s="147">
        <v>18.100000000000001</v>
      </c>
      <c r="J136" s="137">
        <v>0</v>
      </c>
      <c r="K136" s="138">
        <f t="shared" si="6"/>
        <v>18.100000000000001</v>
      </c>
      <c r="L136" s="139">
        <f t="shared" si="7"/>
        <v>108.60000000000001</v>
      </c>
      <c r="M136" s="138">
        <f t="shared" si="8"/>
        <v>74.296500000000009</v>
      </c>
    </row>
    <row r="137" spans="1:13" ht="20.100000000000001" customHeight="1" x14ac:dyDescent="0.35">
      <c r="A137" s="40">
        <v>3503</v>
      </c>
      <c r="B137" s="58">
        <v>12</v>
      </c>
      <c r="C137" s="58" t="s">
        <v>64</v>
      </c>
      <c r="D137" s="58" t="s">
        <v>2</v>
      </c>
      <c r="E137" s="64" t="s">
        <v>42</v>
      </c>
      <c r="F137" s="66" t="s">
        <v>294</v>
      </c>
      <c r="G137" s="145">
        <v>26.781299999999998</v>
      </c>
      <c r="H137" s="146">
        <v>145.19999999999999</v>
      </c>
      <c r="I137" s="147">
        <v>12.1</v>
      </c>
      <c r="J137" s="137">
        <v>0</v>
      </c>
      <c r="K137" s="138">
        <f t="shared" si="6"/>
        <v>12.1</v>
      </c>
      <c r="L137" s="139">
        <f t="shared" si="7"/>
        <v>145.19999999999999</v>
      </c>
      <c r="M137" s="138">
        <f t="shared" si="8"/>
        <v>118.41869999999999</v>
      </c>
    </row>
    <row r="138" spans="1:13" ht="20.100000000000001" customHeight="1" x14ac:dyDescent="0.35">
      <c r="A138" s="40">
        <v>2089</v>
      </c>
      <c r="B138" s="58">
        <v>6</v>
      </c>
      <c r="C138" s="58" t="s">
        <v>65</v>
      </c>
      <c r="D138" s="58" t="s">
        <v>1</v>
      </c>
      <c r="E138" s="64" t="s">
        <v>44</v>
      </c>
      <c r="F138" s="66" t="s">
        <v>295</v>
      </c>
      <c r="G138" s="145">
        <v>13.390649999999999</v>
      </c>
      <c r="H138" s="146">
        <v>48.599999999999994</v>
      </c>
      <c r="I138" s="147">
        <v>8.1</v>
      </c>
      <c r="J138" s="137">
        <v>0</v>
      </c>
      <c r="K138" s="138">
        <f t="shared" si="6"/>
        <v>8.1</v>
      </c>
      <c r="L138" s="139">
        <f t="shared" si="7"/>
        <v>48.599999999999994</v>
      </c>
      <c r="M138" s="138">
        <f t="shared" si="8"/>
        <v>35.209349999999993</v>
      </c>
    </row>
    <row r="139" spans="1:13" ht="20.100000000000001" customHeight="1" x14ac:dyDescent="0.35">
      <c r="A139" s="40">
        <v>2885</v>
      </c>
      <c r="B139" s="58">
        <v>6</v>
      </c>
      <c r="C139" s="58" t="s">
        <v>65</v>
      </c>
      <c r="D139" s="58" t="s">
        <v>5</v>
      </c>
      <c r="E139" s="64" t="s">
        <v>238</v>
      </c>
      <c r="F139" s="66" t="s">
        <v>296</v>
      </c>
      <c r="G139" s="145">
        <v>13.390649999999999</v>
      </c>
      <c r="H139" s="146">
        <v>37.200000000000003</v>
      </c>
      <c r="I139" s="147">
        <v>6.2</v>
      </c>
      <c r="J139" s="137">
        <v>0</v>
      </c>
      <c r="K139" s="138">
        <f t="shared" si="6"/>
        <v>6.2</v>
      </c>
      <c r="L139" s="139">
        <f t="shared" si="7"/>
        <v>37.200000000000003</v>
      </c>
      <c r="M139" s="138">
        <f t="shared" si="8"/>
        <v>23.809350000000002</v>
      </c>
    </row>
    <row r="140" spans="1:13" ht="20.100000000000001" customHeight="1" x14ac:dyDescent="0.35">
      <c r="A140" s="40">
        <v>2804</v>
      </c>
      <c r="B140" s="58">
        <v>12</v>
      </c>
      <c r="C140" s="58" t="s">
        <v>64</v>
      </c>
      <c r="D140" s="58" t="s">
        <v>6</v>
      </c>
      <c r="E140" s="64" t="s">
        <v>43</v>
      </c>
      <c r="F140" s="66" t="s">
        <v>297</v>
      </c>
      <c r="G140" s="145">
        <v>26.781299999999998</v>
      </c>
      <c r="H140" s="146">
        <v>74.400000000000006</v>
      </c>
      <c r="I140" s="147">
        <v>6.2</v>
      </c>
      <c r="J140" s="137">
        <v>0</v>
      </c>
      <c r="K140" s="138">
        <f t="shared" si="6"/>
        <v>6.2</v>
      </c>
      <c r="L140" s="139">
        <f t="shared" si="7"/>
        <v>74.400000000000006</v>
      </c>
      <c r="M140" s="138">
        <f t="shared" si="8"/>
        <v>47.618700000000004</v>
      </c>
    </row>
    <row r="141" spans="1:13" ht="20.100000000000001" customHeight="1" x14ac:dyDescent="0.35">
      <c r="A141" s="40">
        <v>3105</v>
      </c>
      <c r="B141" s="58">
        <v>6</v>
      </c>
      <c r="C141" s="58" t="s">
        <v>65</v>
      </c>
      <c r="D141" s="58" t="s">
        <v>2</v>
      </c>
      <c r="E141" s="64" t="s">
        <v>242</v>
      </c>
      <c r="F141" s="66" t="s">
        <v>298</v>
      </c>
      <c r="G141" s="145">
        <v>13.390649999999999</v>
      </c>
      <c r="H141" s="146">
        <v>34.799999999999997</v>
      </c>
      <c r="I141" s="147">
        <v>5.8</v>
      </c>
      <c r="J141" s="137">
        <v>0</v>
      </c>
      <c r="K141" s="138">
        <f t="shared" si="6"/>
        <v>5.8</v>
      </c>
      <c r="L141" s="139">
        <f t="shared" si="7"/>
        <v>34.799999999999997</v>
      </c>
      <c r="M141" s="138">
        <f t="shared" si="8"/>
        <v>21.409349999999996</v>
      </c>
    </row>
    <row r="142" spans="1:13" ht="20.100000000000001" customHeight="1" x14ac:dyDescent="0.35">
      <c r="A142" s="40">
        <v>3106</v>
      </c>
      <c r="B142" s="58">
        <v>6</v>
      </c>
      <c r="C142" s="58" t="s">
        <v>64</v>
      </c>
      <c r="D142" s="58" t="s">
        <v>2</v>
      </c>
      <c r="E142" s="64" t="s">
        <v>242</v>
      </c>
      <c r="F142" s="66" t="s">
        <v>299</v>
      </c>
      <c r="G142" s="145">
        <v>13.390649999999999</v>
      </c>
      <c r="H142" s="146">
        <v>34.799999999999997</v>
      </c>
      <c r="I142" s="147">
        <v>5.8</v>
      </c>
      <c r="J142" s="137">
        <v>0</v>
      </c>
      <c r="K142" s="138">
        <f t="shared" si="6"/>
        <v>5.8</v>
      </c>
      <c r="L142" s="139">
        <f t="shared" si="7"/>
        <v>34.799999999999997</v>
      </c>
      <c r="M142" s="138">
        <f t="shared" si="8"/>
        <v>21.409349999999996</v>
      </c>
    </row>
    <row r="143" spans="1:13" ht="20.100000000000001" customHeight="1" x14ac:dyDescent="0.35">
      <c r="A143" s="40">
        <v>3107</v>
      </c>
      <c r="B143" s="58">
        <v>6</v>
      </c>
      <c r="C143" s="58" t="s">
        <v>66</v>
      </c>
      <c r="D143" s="58" t="s">
        <v>2</v>
      </c>
      <c r="E143" s="64" t="s">
        <v>242</v>
      </c>
      <c r="F143" s="66" t="s">
        <v>300</v>
      </c>
      <c r="G143" s="145">
        <v>13.390649999999999</v>
      </c>
      <c r="H143" s="146">
        <v>34.799999999999997</v>
      </c>
      <c r="I143" s="147">
        <v>5.8</v>
      </c>
      <c r="J143" s="137">
        <v>0</v>
      </c>
      <c r="K143" s="138">
        <f t="shared" si="6"/>
        <v>5.8</v>
      </c>
      <c r="L143" s="139">
        <f t="shared" si="7"/>
        <v>34.799999999999997</v>
      </c>
      <c r="M143" s="138">
        <f t="shared" si="8"/>
        <v>21.409349999999996</v>
      </c>
    </row>
    <row r="144" spans="1:13" ht="20.100000000000001" customHeight="1" x14ac:dyDescent="0.35">
      <c r="A144" s="40">
        <v>1859</v>
      </c>
      <c r="B144" s="58">
        <v>6</v>
      </c>
      <c r="C144" s="58" t="s">
        <v>67</v>
      </c>
      <c r="D144" s="58" t="s">
        <v>1</v>
      </c>
      <c r="E144" s="64" t="s">
        <v>119</v>
      </c>
      <c r="F144" s="66" t="s">
        <v>301</v>
      </c>
      <c r="G144" s="145">
        <v>17.15175</v>
      </c>
      <c r="H144" s="146">
        <v>120.60000000000001</v>
      </c>
      <c r="I144" s="147">
        <v>20.100000000000001</v>
      </c>
      <c r="J144" s="137">
        <v>0</v>
      </c>
      <c r="K144" s="138">
        <f t="shared" si="6"/>
        <v>20.100000000000001</v>
      </c>
      <c r="L144" s="139">
        <f t="shared" si="7"/>
        <v>120.60000000000001</v>
      </c>
      <c r="M144" s="138">
        <f t="shared" si="8"/>
        <v>103.44825</v>
      </c>
    </row>
    <row r="145" spans="1:13" ht="20.100000000000001" customHeight="1" x14ac:dyDescent="0.35">
      <c r="A145" s="40" t="s">
        <v>302</v>
      </c>
      <c r="B145" s="58">
        <v>6</v>
      </c>
      <c r="C145" s="58" t="s">
        <v>67</v>
      </c>
      <c r="D145" s="58" t="s">
        <v>1</v>
      </c>
      <c r="E145" s="64" t="s">
        <v>119</v>
      </c>
      <c r="F145" s="66" t="s">
        <v>303</v>
      </c>
      <c r="G145" s="145">
        <v>17.15175</v>
      </c>
      <c r="H145" s="146">
        <v>120.60000000000001</v>
      </c>
      <c r="I145" s="147">
        <v>20.100000000000001</v>
      </c>
      <c r="J145" s="137">
        <v>0</v>
      </c>
      <c r="K145" s="138">
        <f t="shared" si="6"/>
        <v>20.100000000000001</v>
      </c>
      <c r="L145" s="139">
        <f t="shared" si="7"/>
        <v>120.60000000000001</v>
      </c>
      <c r="M145" s="138">
        <f t="shared" si="8"/>
        <v>103.44825</v>
      </c>
    </row>
    <row r="146" spans="1:13" ht="20.100000000000001" customHeight="1" x14ac:dyDescent="0.35">
      <c r="A146" s="40" t="s">
        <v>304</v>
      </c>
      <c r="B146" s="58">
        <v>6</v>
      </c>
      <c r="C146" s="58" t="s">
        <v>65</v>
      </c>
      <c r="D146" s="58" t="s">
        <v>1</v>
      </c>
      <c r="E146" s="64" t="s">
        <v>101</v>
      </c>
      <c r="F146" s="66" t="s">
        <v>305</v>
      </c>
      <c r="G146" s="145">
        <v>13.390649999999999</v>
      </c>
      <c r="H146" s="146">
        <v>39</v>
      </c>
      <c r="I146" s="147">
        <v>6.5</v>
      </c>
      <c r="J146" s="137">
        <v>0</v>
      </c>
      <c r="K146" s="138">
        <f t="shared" si="6"/>
        <v>6.5</v>
      </c>
      <c r="L146" s="139">
        <f t="shared" si="7"/>
        <v>39</v>
      </c>
      <c r="M146" s="138">
        <f t="shared" si="8"/>
        <v>25.609349999999999</v>
      </c>
    </row>
    <row r="147" spans="1:13" ht="20.100000000000001" customHeight="1" x14ac:dyDescent="0.35">
      <c r="A147" s="40" t="s">
        <v>306</v>
      </c>
      <c r="B147" s="58">
        <v>6</v>
      </c>
      <c r="C147" s="58" t="s">
        <v>64</v>
      </c>
      <c r="D147" s="58" t="s">
        <v>1</v>
      </c>
      <c r="E147" s="64" t="s">
        <v>101</v>
      </c>
      <c r="F147" s="66" t="s">
        <v>307</v>
      </c>
      <c r="G147" s="145">
        <v>13.390649999999999</v>
      </c>
      <c r="H147" s="146">
        <v>39</v>
      </c>
      <c r="I147" s="147">
        <v>6.5</v>
      </c>
      <c r="J147" s="137">
        <v>0</v>
      </c>
      <c r="K147" s="138">
        <f t="shared" si="6"/>
        <v>6.5</v>
      </c>
      <c r="L147" s="139">
        <f t="shared" si="7"/>
        <v>39</v>
      </c>
      <c r="M147" s="138">
        <f t="shared" si="8"/>
        <v>25.609349999999999</v>
      </c>
    </row>
    <row r="148" spans="1:13" ht="20.100000000000001" customHeight="1" x14ac:dyDescent="0.35">
      <c r="A148" s="40" t="s">
        <v>308</v>
      </c>
      <c r="B148" s="58">
        <v>6</v>
      </c>
      <c r="C148" s="58" t="s">
        <v>66</v>
      </c>
      <c r="D148" s="58" t="s">
        <v>1</v>
      </c>
      <c r="E148" s="64" t="s">
        <v>101</v>
      </c>
      <c r="F148" s="66" t="s">
        <v>309</v>
      </c>
      <c r="G148" s="145">
        <v>13.390649999999999</v>
      </c>
      <c r="H148" s="146">
        <v>39</v>
      </c>
      <c r="I148" s="147">
        <v>6.5</v>
      </c>
      <c r="J148" s="137">
        <v>0</v>
      </c>
      <c r="K148" s="138">
        <f t="shared" si="6"/>
        <v>6.5</v>
      </c>
      <c r="L148" s="139">
        <f t="shared" si="7"/>
        <v>39</v>
      </c>
      <c r="M148" s="138">
        <f t="shared" si="8"/>
        <v>25.609349999999999</v>
      </c>
    </row>
    <row r="149" spans="1:13" ht="20.100000000000001" customHeight="1" x14ac:dyDescent="0.35">
      <c r="A149" s="40" t="s">
        <v>310</v>
      </c>
      <c r="B149" s="58">
        <v>6</v>
      </c>
      <c r="C149" s="58" t="s">
        <v>64</v>
      </c>
      <c r="D149" s="58" t="s">
        <v>0</v>
      </c>
      <c r="E149" s="64" t="s">
        <v>193</v>
      </c>
      <c r="F149" s="66" t="s">
        <v>311</v>
      </c>
      <c r="G149" s="145">
        <v>13.390649999999999</v>
      </c>
      <c r="H149" s="146">
        <v>45.599999999999994</v>
      </c>
      <c r="I149" s="147">
        <v>7.6</v>
      </c>
      <c r="J149" s="137">
        <v>0</v>
      </c>
      <c r="K149" s="138">
        <f t="shared" si="6"/>
        <v>7.6</v>
      </c>
      <c r="L149" s="139">
        <f t="shared" si="7"/>
        <v>45.599999999999994</v>
      </c>
      <c r="M149" s="138">
        <f t="shared" si="8"/>
        <v>32.209349999999993</v>
      </c>
    </row>
    <row r="150" spans="1:13" ht="20.100000000000001" customHeight="1" x14ac:dyDescent="0.35">
      <c r="A150" s="40" t="s">
        <v>312</v>
      </c>
      <c r="B150" s="58">
        <v>6</v>
      </c>
      <c r="C150" s="58" t="s">
        <v>64</v>
      </c>
      <c r="D150" s="58" t="s">
        <v>1</v>
      </c>
      <c r="E150" s="64" t="s">
        <v>154</v>
      </c>
      <c r="F150" s="66" t="s">
        <v>313</v>
      </c>
      <c r="G150" s="145">
        <v>13.390649999999999</v>
      </c>
      <c r="H150" s="146">
        <v>54.599999999999994</v>
      </c>
      <c r="I150" s="147">
        <v>9.1</v>
      </c>
      <c r="J150" s="137">
        <v>0</v>
      </c>
      <c r="K150" s="138">
        <f t="shared" si="6"/>
        <v>9.1</v>
      </c>
      <c r="L150" s="139">
        <f t="shared" si="7"/>
        <v>54.599999999999994</v>
      </c>
      <c r="M150" s="138">
        <f t="shared" si="8"/>
        <v>41.209349999999993</v>
      </c>
    </row>
    <row r="151" spans="1:13" ht="20.100000000000001" customHeight="1" x14ac:dyDescent="0.35">
      <c r="A151" s="40">
        <v>3256</v>
      </c>
      <c r="B151" s="58">
        <v>6</v>
      </c>
      <c r="C151" s="58" t="s">
        <v>65</v>
      </c>
      <c r="D151" s="58" t="s">
        <v>0</v>
      </c>
      <c r="E151" s="64" t="s">
        <v>40</v>
      </c>
      <c r="F151" s="66" t="s">
        <v>58</v>
      </c>
      <c r="G151" s="145">
        <v>13.390649999999999</v>
      </c>
      <c r="H151" s="146">
        <v>56.400000000000006</v>
      </c>
      <c r="I151" s="147">
        <v>9.4</v>
      </c>
      <c r="J151" s="137">
        <v>0</v>
      </c>
      <c r="K151" s="138">
        <f t="shared" si="6"/>
        <v>9.4</v>
      </c>
      <c r="L151" s="139">
        <f t="shared" si="7"/>
        <v>56.400000000000006</v>
      </c>
      <c r="M151" s="138">
        <f t="shared" si="8"/>
        <v>43.009350000000005</v>
      </c>
    </row>
    <row r="152" spans="1:13" ht="20.100000000000001" customHeight="1" x14ac:dyDescent="0.35">
      <c r="A152" s="40">
        <v>3078</v>
      </c>
      <c r="B152" s="58">
        <v>12</v>
      </c>
      <c r="C152" s="58" t="s">
        <v>64</v>
      </c>
      <c r="D152" s="58" t="s">
        <v>3</v>
      </c>
      <c r="E152" s="64" t="s">
        <v>39</v>
      </c>
      <c r="F152" s="66" t="s">
        <v>314</v>
      </c>
      <c r="G152" s="145">
        <v>26.781299999999998</v>
      </c>
      <c r="H152" s="146">
        <v>124.80000000000001</v>
      </c>
      <c r="I152" s="147">
        <v>10.4</v>
      </c>
      <c r="J152" s="137">
        <v>0</v>
      </c>
      <c r="K152" s="138">
        <f t="shared" si="6"/>
        <v>10.4</v>
      </c>
      <c r="L152" s="139">
        <f t="shared" si="7"/>
        <v>124.80000000000001</v>
      </c>
      <c r="M152" s="138">
        <f t="shared" si="8"/>
        <v>98.01870000000001</v>
      </c>
    </row>
    <row r="153" spans="1:13" ht="20.100000000000001" customHeight="1" x14ac:dyDescent="0.35">
      <c r="A153" s="40">
        <v>3405</v>
      </c>
      <c r="B153" s="58">
        <v>6</v>
      </c>
      <c r="C153" s="58" t="s">
        <v>64</v>
      </c>
      <c r="D153" s="58" t="s">
        <v>315</v>
      </c>
      <c r="E153" s="64" t="s">
        <v>316</v>
      </c>
      <c r="F153" s="66" t="s">
        <v>317</v>
      </c>
      <c r="G153" s="145">
        <v>13.390649999999999</v>
      </c>
      <c r="H153" s="146">
        <v>48.599999999999994</v>
      </c>
      <c r="I153" s="147">
        <v>8.1</v>
      </c>
      <c r="J153" s="137">
        <v>0</v>
      </c>
      <c r="K153" s="138">
        <f t="shared" si="6"/>
        <v>8.1</v>
      </c>
      <c r="L153" s="139">
        <f t="shared" si="7"/>
        <v>48.599999999999994</v>
      </c>
      <c r="M153" s="138">
        <f t="shared" si="8"/>
        <v>35.209349999999993</v>
      </c>
    </row>
    <row r="154" spans="1:13" ht="20.100000000000001" customHeight="1" x14ac:dyDescent="0.35">
      <c r="A154" s="40">
        <v>3166</v>
      </c>
      <c r="B154" s="58">
        <v>12</v>
      </c>
      <c r="C154" s="58" t="s">
        <v>64</v>
      </c>
      <c r="D154" s="58" t="s">
        <v>2</v>
      </c>
      <c r="E154" s="64" t="s">
        <v>42</v>
      </c>
      <c r="F154" s="66" t="s">
        <v>318</v>
      </c>
      <c r="G154" s="145">
        <v>26.781299999999998</v>
      </c>
      <c r="H154" s="146">
        <v>96.24</v>
      </c>
      <c r="I154" s="147">
        <v>8.4</v>
      </c>
      <c r="J154" s="137">
        <v>0</v>
      </c>
      <c r="K154" s="138">
        <f t="shared" si="6"/>
        <v>8.4</v>
      </c>
      <c r="L154" s="139">
        <f t="shared" si="7"/>
        <v>100.80000000000001</v>
      </c>
      <c r="M154" s="138">
        <f t="shared" si="8"/>
        <v>74.01870000000001</v>
      </c>
    </row>
    <row r="155" spans="1:13" ht="20.100000000000001" customHeight="1" x14ac:dyDescent="0.35">
      <c r="A155" s="40">
        <v>3316</v>
      </c>
      <c r="B155" s="58">
        <v>12</v>
      </c>
      <c r="C155" s="58" t="s">
        <v>64</v>
      </c>
      <c r="D155" s="58" t="s">
        <v>127</v>
      </c>
      <c r="E155" s="64" t="s">
        <v>319</v>
      </c>
      <c r="F155" s="66" t="s">
        <v>320</v>
      </c>
      <c r="G155" s="145">
        <v>26.781299999999998</v>
      </c>
      <c r="H155" s="146">
        <v>85.199999999999989</v>
      </c>
      <c r="I155" s="147">
        <v>7.1</v>
      </c>
      <c r="J155" s="137">
        <v>0</v>
      </c>
      <c r="K155" s="138">
        <f t="shared" si="6"/>
        <v>7.1</v>
      </c>
      <c r="L155" s="139">
        <f t="shared" si="7"/>
        <v>85.199999999999989</v>
      </c>
      <c r="M155" s="138">
        <f t="shared" si="8"/>
        <v>58.418699999999987</v>
      </c>
    </row>
    <row r="156" spans="1:13" ht="20.100000000000001" customHeight="1" x14ac:dyDescent="0.35">
      <c r="A156" s="40">
        <v>3317</v>
      </c>
      <c r="B156" s="58">
        <v>12</v>
      </c>
      <c r="C156" s="58" t="s">
        <v>64</v>
      </c>
      <c r="D156" s="58" t="s">
        <v>127</v>
      </c>
      <c r="E156" s="64" t="s">
        <v>321</v>
      </c>
      <c r="F156" s="66" t="s">
        <v>322</v>
      </c>
      <c r="G156" s="145">
        <v>26.781299999999998</v>
      </c>
      <c r="H156" s="146">
        <v>85.199999999999989</v>
      </c>
      <c r="I156" s="147">
        <v>7.1</v>
      </c>
      <c r="J156" s="137">
        <v>0</v>
      </c>
      <c r="K156" s="138">
        <f t="shared" si="6"/>
        <v>7.1</v>
      </c>
      <c r="L156" s="139">
        <f t="shared" si="7"/>
        <v>85.199999999999989</v>
      </c>
      <c r="M156" s="138">
        <f t="shared" si="8"/>
        <v>58.418699999999987</v>
      </c>
    </row>
    <row r="157" spans="1:13" ht="20.100000000000001" customHeight="1" x14ac:dyDescent="0.35">
      <c r="A157" s="40">
        <v>3478</v>
      </c>
      <c r="B157" s="58">
        <v>12</v>
      </c>
      <c r="C157" s="58" t="s">
        <v>65</v>
      </c>
      <c r="D157" s="58" t="s">
        <v>2</v>
      </c>
      <c r="E157" s="64" t="s">
        <v>323</v>
      </c>
      <c r="F157" s="66" t="s">
        <v>324</v>
      </c>
      <c r="G157" s="145">
        <v>26.781299999999998</v>
      </c>
      <c r="H157" s="146">
        <v>97.199999999999989</v>
      </c>
      <c r="I157" s="147">
        <v>8.1</v>
      </c>
      <c r="J157" s="137">
        <v>0</v>
      </c>
      <c r="K157" s="138">
        <f t="shared" si="6"/>
        <v>8.1</v>
      </c>
      <c r="L157" s="139">
        <f t="shared" si="7"/>
        <v>97.199999999999989</v>
      </c>
      <c r="M157" s="138">
        <f t="shared" si="8"/>
        <v>70.418699999999987</v>
      </c>
    </row>
    <row r="158" spans="1:13" ht="20.100000000000001" customHeight="1" x14ac:dyDescent="0.35">
      <c r="A158" s="40">
        <v>3145</v>
      </c>
      <c r="B158" s="58">
        <v>6</v>
      </c>
      <c r="C158" s="58" t="s">
        <v>64</v>
      </c>
      <c r="D158" s="58" t="s">
        <v>2</v>
      </c>
      <c r="E158" s="64" t="s">
        <v>267</v>
      </c>
      <c r="F158" s="66" t="s">
        <v>325</v>
      </c>
      <c r="G158" s="145">
        <v>13.390649999999999</v>
      </c>
      <c r="H158" s="146">
        <v>50.400000000000006</v>
      </c>
      <c r="I158" s="147">
        <v>8.4</v>
      </c>
      <c r="J158" s="137">
        <v>0</v>
      </c>
      <c r="K158" s="138">
        <f t="shared" si="6"/>
        <v>8.4</v>
      </c>
      <c r="L158" s="139">
        <f t="shared" si="7"/>
        <v>50.400000000000006</v>
      </c>
      <c r="M158" s="138">
        <f t="shared" si="8"/>
        <v>37.009350000000005</v>
      </c>
    </row>
    <row r="159" spans="1:13" ht="20.100000000000001" customHeight="1" x14ac:dyDescent="0.35">
      <c r="A159" s="40">
        <v>3530</v>
      </c>
      <c r="B159" s="58">
        <v>6</v>
      </c>
      <c r="C159" s="58" t="s">
        <v>65</v>
      </c>
      <c r="D159" s="58" t="s">
        <v>2</v>
      </c>
      <c r="E159" s="64" t="s">
        <v>267</v>
      </c>
      <c r="F159" s="66" t="s">
        <v>326</v>
      </c>
      <c r="G159" s="145">
        <v>13.390649999999999</v>
      </c>
      <c r="H159" s="146">
        <v>50.400000000000006</v>
      </c>
      <c r="I159" s="147">
        <v>8.4</v>
      </c>
      <c r="J159" s="137">
        <v>0</v>
      </c>
      <c r="K159" s="138">
        <f t="shared" si="6"/>
        <v>8.4</v>
      </c>
      <c r="L159" s="139">
        <f t="shared" si="7"/>
        <v>50.400000000000006</v>
      </c>
      <c r="M159" s="138">
        <f t="shared" si="8"/>
        <v>37.009350000000005</v>
      </c>
    </row>
    <row r="160" spans="1:13" ht="20.100000000000001" customHeight="1" x14ac:dyDescent="0.35">
      <c r="A160" s="40" t="s">
        <v>327</v>
      </c>
      <c r="B160" s="58">
        <v>6</v>
      </c>
      <c r="C160" s="58" t="s">
        <v>65</v>
      </c>
      <c r="D160" s="58" t="s">
        <v>0</v>
      </c>
      <c r="E160" s="64" t="s">
        <v>193</v>
      </c>
      <c r="F160" s="66" t="s">
        <v>328</v>
      </c>
      <c r="G160" s="145">
        <v>13.390649999999999</v>
      </c>
      <c r="H160" s="146">
        <v>39.599999999999994</v>
      </c>
      <c r="I160" s="147">
        <v>6.6</v>
      </c>
      <c r="J160" s="137">
        <v>0</v>
      </c>
      <c r="K160" s="138">
        <f t="shared" si="6"/>
        <v>6.6</v>
      </c>
      <c r="L160" s="139">
        <f t="shared" si="7"/>
        <v>39.599999999999994</v>
      </c>
      <c r="M160" s="138">
        <f t="shared" si="8"/>
        <v>26.209349999999993</v>
      </c>
    </row>
    <row r="161" spans="1:13" ht="20.100000000000001" customHeight="1" x14ac:dyDescent="0.35">
      <c r="A161" s="40" t="s">
        <v>329</v>
      </c>
      <c r="B161" s="58">
        <v>6</v>
      </c>
      <c r="C161" s="58" t="s">
        <v>64</v>
      </c>
      <c r="D161" s="58" t="s">
        <v>0</v>
      </c>
      <c r="E161" s="64" t="s">
        <v>40</v>
      </c>
      <c r="F161" s="66" t="s">
        <v>330</v>
      </c>
      <c r="G161" s="145">
        <v>13.390649999999999</v>
      </c>
      <c r="H161" s="146">
        <v>39.599999999999994</v>
      </c>
      <c r="I161" s="147">
        <v>6.6</v>
      </c>
      <c r="J161" s="137">
        <v>0</v>
      </c>
      <c r="K161" s="138">
        <f t="shared" si="6"/>
        <v>6.6</v>
      </c>
      <c r="L161" s="139">
        <f t="shared" si="7"/>
        <v>39.599999999999994</v>
      </c>
      <c r="M161" s="138">
        <f t="shared" si="8"/>
        <v>26.209349999999993</v>
      </c>
    </row>
    <row r="162" spans="1:13" ht="20.100000000000001" customHeight="1" x14ac:dyDescent="0.35">
      <c r="A162" s="40">
        <v>2347</v>
      </c>
      <c r="B162" s="58">
        <v>6</v>
      </c>
      <c r="C162" s="58" t="s">
        <v>65</v>
      </c>
      <c r="D162" s="58" t="s">
        <v>1</v>
      </c>
      <c r="E162" s="64" t="s">
        <v>110</v>
      </c>
      <c r="F162" s="66" t="s">
        <v>331</v>
      </c>
      <c r="G162" s="145">
        <v>13.390649999999999</v>
      </c>
      <c r="H162" s="146">
        <v>306.60000000000002</v>
      </c>
      <c r="I162" s="147">
        <v>51.1</v>
      </c>
      <c r="J162" s="137">
        <v>0</v>
      </c>
      <c r="K162" s="138">
        <f t="shared" si="6"/>
        <v>51.1</v>
      </c>
      <c r="L162" s="139">
        <f t="shared" si="7"/>
        <v>306.60000000000002</v>
      </c>
      <c r="M162" s="138">
        <f t="shared" si="8"/>
        <v>293.20935000000003</v>
      </c>
    </row>
    <row r="163" spans="1:13" ht="20.100000000000001" customHeight="1" x14ac:dyDescent="0.35">
      <c r="A163" s="40" t="s">
        <v>332</v>
      </c>
      <c r="B163" s="58">
        <v>12</v>
      </c>
      <c r="C163" s="58" t="s">
        <v>168</v>
      </c>
      <c r="D163" s="58" t="s">
        <v>1</v>
      </c>
      <c r="E163" s="64" t="s">
        <v>154</v>
      </c>
      <c r="F163" s="66" t="s">
        <v>333</v>
      </c>
      <c r="G163" s="145">
        <v>13.390649999999999</v>
      </c>
      <c r="H163" s="146">
        <v>79.199999999999989</v>
      </c>
      <c r="I163" s="147">
        <v>6.6</v>
      </c>
      <c r="J163" s="137">
        <v>0</v>
      </c>
      <c r="K163" s="138">
        <f t="shared" si="6"/>
        <v>6.6</v>
      </c>
      <c r="L163" s="139">
        <f t="shared" si="7"/>
        <v>79.199999999999989</v>
      </c>
      <c r="M163" s="138">
        <f t="shared" si="8"/>
        <v>65.809349999999995</v>
      </c>
    </row>
    <row r="164" spans="1:13" ht="20.100000000000001" customHeight="1" x14ac:dyDescent="0.35">
      <c r="A164" s="40">
        <v>1842</v>
      </c>
      <c r="B164" s="58">
        <v>6</v>
      </c>
      <c r="C164" s="58" t="s">
        <v>65</v>
      </c>
      <c r="D164" s="58" t="s">
        <v>0</v>
      </c>
      <c r="E164" s="64" t="s">
        <v>193</v>
      </c>
      <c r="F164" s="66" t="s">
        <v>334</v>
      </c>
      <c r="G164" s="145">
        <v>13.390649999999999</v>
      </c>
      <c r="H164" s="146">
        <v>42.599999999999994</v>
      </c>
      <c r="I164" s="147">
        <v>7.1</v>
      </c>
      <c r="J164" s="137">
        <v>0</v>
      </c>
      <c r="K164" s="138">
        <f t="shared" si="6"/>
        <v>7.1</v>
      </c>
      <c r="L164" s="139">
        <f t="shared" si="7"/>
        <v>42.599999999999994</v>
      </c>
      <c r="M164" s="138">
        <f t="shared" si="8"/>
        <v>29.209349999999993</v>
      </c>
    </row>
    <row r="165" spans="1:13" ht="20.100000000000001" customHeight="1" x14ac:dyDescent="0.35">
      <c r="A165" s="40">
        <v>3476</v>
      </c>
      <c r="B165" s="58">
        <v>12</v>
      </c>
      <c r="C165" s="58" t="s">
        <v>64</v>
      </c>
      <c r="D165" s="58" t="s">
        <v>2</v>
      </c>
      <c r="E165" s="64" t="s">
        <v>229</v>
      </c>
      <c r="F165" s="66" t="s">
        <v>335</v>
      </c>
      <c r="G165" s="145">
        <v>26.781299999999998</v>
      </c>
      <c r="H165" s="146">
        <v>103.19999999999999</v>
      </c>
      <c r="I165" s="147">
        <v>8.6</v>
      </c>
      <c r="J165" s="137">
        <v>0</v>
      </c>
      <c r="K165" s="138">
        <f t="shared" si="6"/>
        <v>8.6</v>
      </c>
      <c r="L165" s="139">
        <f t="shared" si="7"/>
        <v>103.19999999999999</v>
      </c>
      <c r="M165" s="138">
        <f t="shared" si="8"/>
        <v>76.418699999999987</v>
      </c>
    </row>
    <row r="166" spans="1:13" ht="20.100000000000001" customHeight="1" x14ac:dyDescent="0.35">
      <c r="A166" s="40" t="s">
        <v>336</v>
      </c>
      <c r="B166" s="58">
        <v>12</v>
      </c>
      <c r="C166" s="58" t="s">
        <v>64</v>
      </c>
      <c r="D166" s="58" t="s">
        <v>2</v>
      </c>
      <c r="E166" s="64" t="s">
        <v>42</v>
      </c>
      <c r="F166" s="66" t="s">
        <v>337</v>
      </c>
      <c r="G166" s="145">
        <v>26.781299999999998</v>
      </c>
      <c r="H166" s="146">
        <v>104.64000000000001</v>
      </c>
      <c r="I166" s="147">
        <v>9.1</v>
      </c>
      <c r="J166" s="137">
        <v>0</v>
      </c>
      <c r="K166" s="138">
        <f t="shared" si="6"/>
        <v>9.1</v>
      </c>
      <c r="L166" s="139">
        <f t="shared" si="7"/>
        <v>109.19999999999999</v>
      </c>
      <c r="M166" s="138">
        <f t="shared" si="8"/>
        <v>82.418699999999987</v>
      </c>
    </row>
    <row r="167" spans="1:13" ht="20.100000000000001" customHeight="1" x14ac:dyDescent="0.35">
      <c r="A167" s="40" t="s">
        <v>338</v>
      </c>
      <c r="B167" s="58">
        <v>6</v>
      </c>
      <c r="C167" s="58" t="s">
        <v>64</v>
      </c>
      <c r="D167" s="58" t="s">
        <v>0</v>
      </c>
      <c r="E167" s="64" t="s">
        <v>339</v>
      </c>
      <c r="F167" s="66" t="s">
        <v>340</v>
      </c>
      <c r="G167" s="145">
        <v>13.390649999999999</v>
      </c>
      <c r="H167" s="146">
        <v>42.599999999999994</v>
      </c>
      <c r="I167" s="147">
        <v>7.1</v>
      </c>
      <c r="J167" s="137">
        <v>0</v>
      </c>
      <c r="K167" s="138">
        <f t="shared" si="6"/>
        <v>7.1</v>
      </c>
      <c r="L167" s="139">
        <f t="shared" si="7"/>
        <v>42.599999999999994</v>
      </c>
      <c r="M167" s="138">
        <f t="shared" si="8"/>
        <v>29.209349999999993</v>
      </c>
    </row>
    <row r="168" spans="1:13" ht="20.100000000000001" customHeight="1" x14ac:dyDescent="0.35">
      <c r="A168" s="40">
        <v>3158</v>
      </c>
      <c r="B168" s="58">
        <v>12</v>
      </c>
      <c r="C168" s="58" t="s">
        <v>66</v>
      </c>
      <c r="D168" s="58" t="s">
        <v>2</v>
      </c>
      <c r="E168" s="64" t="s">
        <v>42</v>
      </c>
      <c r="F168" s="66" t="s">
        <v>341</v>
      </c>
      <c r="G168" s="145">
        <v>26.781299999999998</v>
      </c>
      <c r="H168" s="146">
        <v>81.72</v>
      </c>
      <c r="I168" s="147">
        <v>7.1</v>
      </c>
      <c r="J168" s="137">
        <v>0</v>
      </c>
      <c r="K168" s="138">
        <f t="shared" si="6"/>
        <v>7.1</v>
      </c>
      <c r="L168" s="139">
        <f t="shared" si="7"/>
        <v>85.199999999999989</v>
      </c>
      <c r="M168" s="138">
        <f t="shared" si="8"/>
        <v>58.418699999999987</v>
      </c>
    </row>
    <row r="169" spans="1:13" ht="20.100000000000001" customHeight="1" x14ac:dyDescent="0.35">
      <c r="A169" s="40" t="s">
        <v>342</v>
      </c>
      <c r="B169" s="58">
        <v>12</v>
      </c>
      <c r="C169" s="58" t="s">
        <v>65</v>
      </c>
      <c r="D169" s="58" t="s">
        <v>2</v>
      </c>
      <c r="E169" s="64" t="s">
        <v>42</v>
      </c>
      <c r="F169" s="66" t="s">
        <v>343</v>
      </c>
      <c r="G169" s="145">
        <v>26.781299999999998</v>
      </c>
      <c r="H169" s="146">
        <v>81.72</v>
      </c>
      <c r="I169" s="147">
        <v>7.1</v>
      </c>
      <c r="J169" s="137">
        <v>0</v>
      </c>
      <c r="K169" s="138">
        <f t="shared" si="6"/>
        <v>7.1</v>
      </c>
      <c r="L169" s="139">
        <f t="shared" si="7"/>
        <v>85.199999999999989</v>
      </c>
      <c r="M169" s="138">
        <f t="shared" si="8"/>
        <v>58.418699999999987</v>
      </c>
    </row>
    <row r="170" spans="1:13" ht="20.100000000000001" customHeight="1" x14ac:dyDescent="0.35">
      <c r="A170" s="40" t="s">
        <v>344</v>
      </c>
      <c r="B170" s="58">
        <v>12</v>
      </c>
      <c r="C170" s="58" t="s">
        <v>64</v>
      </c>
      <c r="D170" s="58" t="s">
        <v>2</v>
      </c>
      <c r="E170" s="64" t="s">
        <v>42</v>
      </c>
      <c r="F170" s="66" t="s">
        <v>345</v>
      </c>
      <c r="G170" s="145">
        <v>26.781299999999998</v>
      </c>
      <c r="H170" s="146">
        <v>81.72</v>
      </c>
      <c r="I170" s="147">
        <v>7.1</v>
      </c>
      <c r="J170" s="137">
        <v>0</v>
      </c>
      <c r="K170" s="138">
        <f t="shared" si="6"/>
        <v>7.1</v>
      </c>
      <c r="L170" s="139">
        <f t="shared" si="7"/>
        <v>85.199999999999989</v>
      </c>
      <c r="M170" s="138">
        <f t="shared" si="8"/>
        <v>58.418699999999987</v>
      </c>
    </row>
    <row r="171" spans="1:13" ht="20.100000000000001" customHeight="1" x14ac:dyDescent="0.35">
      <c r="A171" s="40">
        <v>3538</v>
      </c>
      <c r="B171" s="58">
        <v>6</v>
      </c>
      <c r="C171" s="58" t="s">
        <v>65</v>
      </c>
      <c r="D171" s="58" t="s">
        <v>2</v>
      </c>
      <c r="E171" s="64" t="s">
        <v>346</v>
      </c>
      <c r="F171" s="66" t="s">
        <v>347</v>
      </c>
      <c r="G171" s="145">
        <v>13.390649999999999</v>
      </c>
      <c r="H171" s="146">
        <v>44.400000000000006</v>
      </c>
      <c r="I171" s="147">
        <v>7.4</v>
      </c>
      <c r="J171" s="137">
        <v>0</v>
      </c>
      <c r="K171" s="138">
        <f t="shared" si="6"/>
        <v>7.4</v>
      </c>
      <c r="L171" s="139">
        <f t="shared" si="7"/>
        <v>44.400000000000006</v>
      </c>
      <c r="M171" s="138">
        <f t="shared" si="8"/>
        <v>31.009350000000005</v>
      </c>
    </row>
    <row r="172" spans="1:13" ht="20.100000000000001" customHeight="1" x14ac:dyDescent="0.35">
      <c r="A172" s="40">
        <v>3102</v>
      </c>
      <c r="B172" s="58">
        <v>12</v>
      </c>
      <c r="C172" s="58" t="s">
        <v>65</v>
      </c>
      <c r="D172" s="58" t="s">
        <v>2</v>
      </c>
      <c r="E172" s="64" t="s">
        <v>323</v>
      </c>
      <c r="F172" s="66" t="s">
        <v>348</v>
      </c>
      <c r="G172" s="145">
        <v>26.781299999999998</v>
      </c>
      <c r="H172" s="146">
        <v>103.19999999999999</v>
      </c>
      <c r="I172" s="147">
        <v>8.6</v>
      </c>
      <c r="J172" s="137">
        <v>0</v>
      </c>
      <c r="K172" s="138">
        <f t="shared" si="6"/>
        <v>8.6</v>
      </c>
      <c r="L172" s="139">
        <f t="shared" si="7"/>
        <v>103.19999999999999</v>
      </c>
      <c r="M172" s="138">
        <f t="shared" si="8"/>
        <v>76.418699999999987</v>
      </c>
    </row>
    <row r="173" spans="1:13" ht="20.100000000000001" customHeight="1" x14ac:dyDescent="0.35">
      <c r="A173" s="40">
        <v>3544</v>
      </c>
      <c r="B173" s="58">
        <v>6</v>
      </c>
      <c r="C173" s="58" t="s">
        <v>64</v>
      </c>
      <c r="D173" s="58" t="s">
        <v>2</v>
      </c>
      <c r="E173" s="64" t="s">
        <v>48</v>
      </c>
      <c r="F173" s="66" t="s">
        <v>57</v>
      </c>
      <c r="G173" s="145">
        <v>13.390649999999999</v>
      </c>
      <c r="H173" s="146">
        <v>56.400000000000006</v>
      </c>
      <c r="I173" s="147">
        <v>9.4</v>
      </c>
      <c r="J173" s="137">
        <v>0</v>
      </c>
      <c r="K173" s="138">
        <f t="shared" si="6"/>
        <v>9.4</v>
      </c>
      <c r="L173" s="139">
        <f t="shared" si="7"/>
        <v>56.400000000000006</v>
      </c>
      <c r="M173" s="138">
        <f t="shared" si="8"/>
        <v>43.009350000000005</v>
      </c>
    </row>
    <row r="174" spans="1:13" ht="20.100000000000001" customHeight="1" x14ac:dyDescent="0.35">
      <c r="A174" s="40">
        <v>2756</v>
      </c>
      <c r="B174" s="58">
        <v>6</v>
      </c>
      <c r="C174" s="58" t="s">
        <v>64</v>
      </c>
      <c r="D174" s="58" t="s">
        <v>1</v>
      </c>
      <c r="E174" s="64" t="s">
        <v>154</v>
      </c>
      <c r="F174" s="66" t="s">
        <v>349</v>
      </c>
      <c r="G174" s="145">
        <v>13.390649999999999</v>
      </c>
      <c r="H174" s="146">
        <v>142.19999999999999</v>
      </c>
      <c r="I174" s="147">
        <v>23.7</v>
      </c>
      <c r="J174" s="137">
        <v>0</v>
      </c>
      <c r="K174" s="138">
        <f t="shared" si="6"/>
        <v>23.7</v>
      </c>
      <c r="L174" s="139">
        <f t="shared" si="7"/>
        <v>142.19999999999999</v>
      </c>
      <c r="M174" s="138">
        <f t="shared" si="8"/>
        <v>128.80934999999999</v>
      </c>
    </row>
    <row r="175" spans="1:13" ht="20.100000000000001" customHeight="1" x14ac:dyDescent="0.35">
      <c r="A175" s="40" t="s">
        <v>350</v>
      </c>
      <c r="B175" s="58">
        <v>6</v>
      </c>
      <c r="C175" s="58" t="s">
        <v>65</v>
      </c>
      <c r="D175" s="58" t="s">
        <v>0</v>
      </c>
      <c r="E175" s="64" t="s">
        <v>193</v>
      </c>
      <c r="F175" s="66" t="s">
        <v>351</v>
      </c>
      <c r="G175" s="145">
        <v>13.390649999999999</v>
      </c>
      <c r="H175" s="146">
        <v>43.2</v>
      </c>
      <c r="I175" s="147">
        <v>7.2</v>
      </c>
      <c r="J175" s="137">
        <v>0</v>
      </c>
      <c r="K175" s="138">
        <f t="shared" si="6"/>
        <v>7.2</v>
      </c>
      <c r="L175" s="139">
        <f t="shared" si="7"/>
        <v>43.2</v>
      </c>
      <c r="M175" s="138">
        <f t="shared" si="8"/>
        <v>29.809350000000002</v>
      </c>
    </row>
    <row r="176" spans="1:13" ht="20.100000000000001" customHeight="1" x14ac:dyDescent="0.35">
      <c r="A176" s="40">
        <v>3227</v>
      </c>
      <c r="B176" s="58">
        <v>6</v>
      </c>
      <c r="C176" s="58" t="s">
        <v>64</v>
      </c>
      <c r="D176" s="58" t="s">
        <v>0</v>
      </c>
      <c r="E176" s="64" t="s">
        <v>193</v>
      </c>
      <c r="F176" s="66" t="s">
        <v>352</v>
      </c>
      <c r="G176" s="145">
        <v>13.390649999999999</v>
      </c>
      <c r="H176" s="146">
        <v>129.60000000000002</v>
      </c>
      <c r="I176" s="147">
        <v>21.6</v>
      </c>
      <c r="J176" s="137">
        <v>0</v>
      </c>
      <c r="K176" s="138">
        <f t="shared" si="6"/>
        <v>21.6</v>
      </c>
      <c r="L176" s="139">
        <f t="shared" si="7"/>
        <v>129.60000000000002</v>
      </c>
      <c r="M176" s="138">
        <f t="shared" si="8"/>
        <v>116.20935000000003</v>
      </c>
    </row>
    <row r="177" spans="1:13" ht="20.100000000000001" customHeight="1" x14ac:dyDescent="0.35">
      <c r="A177" s="40">
        <v>3103</v>
      </c>
      <c r="B177" s="58">
        <v>12</v>
      </c>
      <c r="C177" s="58" t="s">
        <v>65</v>
      </c>
      <c r="D177" s="58" t="s">
        <v>2</v>
      </c>
      <c r="E177" s="64" t="s">
        <v>323</v>
      </c>
      <c r="F177" s="66" t="s">
        <v>353</v>
      </c>
      <c r="G177" s="145">
        <v>26.781299999999998</v>
      </c>
      <c r="H177" s="146">
        <v>106.80000000000001</v>
      </c>
      <c r="I177" s="147">
        <v>8.9</v>
      </c>
      <c r="J177" s="137">
        <v>0</v>
      </c>
      <c r="K177" s="138">
        <f t="shared" si="6"/>
        <v>8.9</v>
      </c>
      <c r="L177" s="139">
        <f t="shared" si="7"/>
        <v>106.80000000000001</v>
      </c>
      <c r="M177" s="138">
        <f t="shared" si="8"/>
        <v>80.01870000000001</v>
      </c>
    </row>
    <row r="178" spans="1:13" ht="20.100000000000001" customHeight="1" x14ac:dyDescent="0.35">
      <c r="A178" s="40" t="s">
        <v>354</v>
      </c>
      <c r="B178" s="58">
        <v>6</v>
      </c>
      <c r="C178" s="58" t="s">
        <v>65</v>
      </c>
      <c r="D178" s="58" t="s">
        <v>0</v>
      </c>
      <c r="E178" s="64" t="s">
        <v>193</v>
      </c>
      <c r="F178" s="66" t="s">
        <v>355</v>
      </c>
      <c r="G178" s="145">
        <v>13.390649999999999</v>
      </c>
      <c r="H178" s="146">
        <v>43.2</v>
      </c>
      <c r="I178" s="147">
        <v>7.2</v>
      </c>
      <c r="J178" s="137">
        <v>0</v>
      </c>
      <c r="K178" s="138">
        <f t="shared" si="6"/>
        <v>7.2</v>
      </c>
      <c r="L178" s="139">
        <f t="shared" si="7"/>
        <v>43.2</v>
      </c>
      <c r="M178" s="138">
        <f t="shared" si="8"/>
        <v>29.809350000000002</v>
      </c>
    </row>
    <row r="179" spans="1:13" ht="20.100000000000001" customHeight="1" x14ac:dyDescent="0.35">
      <c r="A179" s="40">
        <v>3068</v>
      </c>
      <c r="B179" s="58">
        <v>12</v>
      </c>
      <c r="C179" s="58" t="s">
        <v>64</v>
      </c>
      <c r="D179" s="58" t="s">
        <v>3</v>
      </c>
      <c r="E179" s="64" t="s">
        <v>39</v>
      </c>
      <c r="F179" s="66" t="s">
        <v>356</v>
      </c>
      <c r="G179" s="145">
        <v>26.781299999999998</v>
      </c>
      <c r="H179" s="146">
        <v>97.199999999999989</v>
      </c>
      <c r="I179" s="147">
        <v>8.1</v>
      </c>
      <c r="J179" s="137">
        <v>0</v>
      </c>
      <c r="K179" s="138">
        <f t="shared" si="6"/>
        <v>8.1</v>
      </c>
      <c r="L179" s="139">
        <f t="shared" si="7"/>
        <v>97.199999999999989</v>
      </c>
      <c r="M179" s="138">
        <f t="shared" si="8"/>
        <v>70.418699999999987</v>
      </c>
    </row>
    <row r="180" spans="1:13" ht="20.100000000000001" customHeight="1" x14ac:dyDescent="0.35">
      <c r="A180" s="40">
        <v>3069</v>
      </c>
      <c r="B180" s="58">
        <v>12</v>
      </c>
      <c r="C180" s="58" t="s">
        <v>64</v>
      </c>
      <c r="D180" s="58" t="s">
        <v>3</v>
      </c>
      <c r="E180" s="64" t="s">
        <v>39</v>
      </c>
      <c r="F180" s="66" t="s">
        <v>36</v>
      </c>
      <c r="G180" s="145">
        <v>26.781299999999998</v>
      </c>
      <c r="H180" s="146">
        <v>97.199999999999989</v>
      </c>
      <c r="I180" s="147">
        <v>8.1</v>
      </c>
      <c r="J180" s="137">
        <v>0</v>
      </c>
      <c r="K180" s="138">
        <f t="shared" si="6"/>
        <v>8.1</v>
      </c>
      <c r="L180" s="139">
        <f t="shared" si="7"/>
        <v>97.199999999999989</v>
      </c>
      <c r="M180" s="138">
        <f t="shared" si="8"/>
        <v>70.418699999999987</v>
      </c>
    </row>
    <row r="181" spans="1:13" ht="20.100000000000001" customHeight="1" x14ac:dyDescent="0.35">
      <c r="A181" s="40" t="s">
        <v>357</v>
      </c>
      <c r="B181" s="58">
        <v>6</v>
      </c>
      <c r="C181" s="58" t="s">
        <v>66</v>
      </c>
      <c r="D181" s="58" t="s">
        <v>0</v>
      </c>
      <c r="E181" s="64" t="s">
        <v>193</v>
      </c>
      <c r="F181" s="66" t="s">
        <v>358</v>
      </c>
      <c r="G181" s="145">
        <v>13.390649999999999</v>
      </c>
      <c r="H181" s="146">
        <v>43.8</v>
      </c>
      <c r="I181" s="147">
        <v>7.3</v>
      </c>
      <c r="J181" s="137">
        <v>0</v>
      </c>
      <c r="K181" s="138">
        <f t="shared" si="6"/>
        <v>7.3</v>
      </c>
      <c r="L181" s="139">
        <f t="shared" si="7"/>
        <v>43.8</v>
      </c>
      <c r="M181" s="138">
        <f t="shared" si="8"/>
        <v>30.409349999999996</v>
      </c>
    </row>
    <row r="182" spans="1:13" ht="20.100000000000001" customHeight="1" x14ac:dyDescent="0.35">
      <c r="A182" s="40">
        <v>1790</v>
      </c>
      <c r="B182" s="58">
        <v>12</v>
      </c>
      <c r="C182" s="58" t="s">
        <v>65</v>
      </c>
      <c r="D182" s="58" t="s">
        <v>5</v>
      </c>
      <c r="E182" s="64" t="s">
        <v>238</v>
      </c>
      <c r="F182" s="66" t="s">
        <v>359</v>
      </c>
      <c r="G182" s="145">
        <v>26.781299999999998</v>
      </c>
      <c r="H182" s="146">
        <v>73.199999999999989</v>
      </c>
      <c r="I182" s="147">
        <v>6.1</v>
      </c>
      <c r="J182" s="137">
        <v>0</v>
      </c>
      <c r="K182" s="138">
        <f t="shared" si="6"/>
        <v>6.1</v>
      </c>
      <c r="L182" s="139">
        <f t="shared" si="7"/>
        <v>73.199999999999989</v>
      </c>
      <c r="M182" s="138">
        <f t="shared" si="8"/>
        <v>46.418699999999987</v>
      </c>
    </row>
    <row r="183" spans="1:13" ht="20.100000000000001" customHeight="1" x14ac:dyDescent="0.35">
      <c r="A183" s="40">
        <v>1609</v>
      </c>
      <c r="B183" s="58">
        <v>12</v>
      </c>
      <c r="C183" s="58" t="s">
        <v>64</v>
      </c>
      <c r="D183" s="58" t="s">
        <v>4</v>
      </c>
      <c r="E183" s="64" t="s">
        <v>23</v>
      </c>
      <c r="F183" s="66" t="s">
        <v>360</v>
      </c>
      <c r="G183" s="145">
        <v>26.781299999999998</v>
      </c>
      <c r="H183" s="146">
        <v>90</v>
      </c>
      <c r="I183" s="147">
        <v>7.5</v>
      </c>
      <c r="J183" s="137">
        <v>0</v>
      </c>
      <c r="K183" s="138">
        <f t="shared" si="6"/>
        <v>7.5</v>
      </c>
      <c r="L183" s="139">
        <f t="shared" si="7"/>
        <v>90</v>
      </c>
      <c r="M183" s="138">
        <f t="shared" si="8"/>
        <v>63.218699999999998</v>
      </c>
    </row>
    <row r="184" spans="1:13" ht="20.100000000000001" customHeight="1" x14ac:dyDescent="0.35">
      <c r="A184" s="40">
        <v>3310</v>
      </c>
      <c r="B184" s="58">
        <v>12</v>
      </c>
      <c r="C184" s="58" t="s">
        <v>65</v>
      </c>
      <c r="D184" s="58" t="s">
        <v>127</v>
      </c>
      <c r="E184" s="64" t="s">
        <v>128</v>
      </c>
      <c r="F184" s="66" t="s">
        <v>361</v>
      </c>
      <c r="G184" s="145">
        <v>26.781299999999998</v>
      </c>
      <c r="H184" s="146">
        <v>76.800000000000011</v>
      </c>
      <c r="I184" s="147">
        <v>6.4</v>
      </c>
      <c r="J184" s="137">
        <v>0</v>
      </c>
      <c r="K184" s="138">
        <f t="shared" si="6"/>
        <v>6.4</v>
      </c>
      <c r="L184" s="139">
        <f t="shared" si="7"/>
        <v>76.800000000000011</v>
      </c>
      <c r="M184" s="138">
        <f t="shared" si="8"/>
        <v>50.01870000000001</v>
      </c>
    </row>
    <row r="185" spans="1:13" ht="20.100000000000001" customHeight="1" x14ac:dyDescent="0.35">
      <c r="A185" s="40">
        <v>3311</v>
      </c>
      <c r="B185" s="58">
        <v>12</v>
      </c>
      <c r="C185" s="58" t="s">
        <v>65</v>
      </c>
      <c r="D185" s="58" t="s">
        <v>127</v>
      </c>
      <c r="E185" s="64" t="s">
        <v>128</v>
      </c>
      <c r="F185" s="66" t="s">
        <v>362</v>
      </c>
      <c r="G185" s="145">
        <v>26.781299999999998</v>
      </c>
      <c r="H185" s="146">
        <v>76.800000000000011</v>
      </c>
      <c r="I185" s="147">
        <v>6.4</v>
      </c>
      <c r="J185" s="137">
        <v>0</v>
      </c>
      <c r="K185" s="138">
        <f t="shared" si="6"/>
        <v>6.4</v>
      </c>
      <c r="L185" s="139">
        <f t="shared" si="7"/>
        <v>76.800000000000011</v>
      </c>
      <c r="M185" s="138">
        <f t="shared" si="8"/>
        <v>50.01870000000001</v>
      </c>
    </row>
    <row r="186" spans="1:13" ht="20.100000000000001" customHeight="1" x14ac:dyDescent="0.35">
      <c r="A186" s="40">
        <v>3312</v>
      </c>
      <c r="B186" s="58">
        <v>12</v>
      </c>
      <c r="C186" s="58" t="s">
        <v>64</v>
      </c>
      <c r="D186" s="58" t="s">
        <v>127</v>
      </c>
      <c r="E186" s="64" t="s">
        <v>128</v>
      </c>
      <c r="F186" s="66" t="s">
        <v>363</v>
      </c>
      <c r="G186" s="145">
        <v>26.781299999999998</v>
      </c>
      <c r="H186" s="146">
        <v>76.800000000000011</v>
      </c>
      <c r="I186" s="147">
        <v>6.4</v>
      </c>
      <c r="J186" s="137">
        <v>0</v>
      </c>
      <c r="K186" s="138">
        <f t="shared" si="6"/>
        <v>6.4</v>
      </c>
      <c r="L186" s="139">
        <f t="shared" si="7"/>
        <v>76.800000000000011</v>
      </c>
      <c r="M186" s="138">
        <f t="shared" si="8"/>
        <v>50.01870000000001</v>
      </c>
    </row>
    <row r="187" spans="1:13" ht="20.100000000000001" customHeight="1" x14ac:dyDescent="0.35">
      <c r="A187" s="40">
        <v>3313</v>
      </c>
      <c r="B187" s="58">
        <v>12</v>
      </c>
      <c r="C187" s="58" t="s">
        <v>64</v>
      </c>
      <c r="D187" s="58" t="s">
        <v>127</v>
      </c>
      <c r="E187" s="64" t="s">
        <v>128</v>
      </c>
      <c r="F187" s="66" t="s">
        <v>364</v>
      </c>
      <c r="G187" s="145">
        <v>26.781299999999998</v>
      </c>
      <c r="H187" s="146">
        <v>76.800000000000011</v>
      </c>
      <c r="I187" s="147">
        <v>6.4</v>
      </c>
      <c r="J187" s="137">
        <v>0</v>
      </c>
      <c r="K187" s="138">
        <f t="shared" si="6"/>
        <v>6.4</v>
      </c>
      <c r="L187" s="139">
        <f t="shared" si="7"/>
        <v>76.800000000000011</v>
      </c>
      <c r="M187" s="138">
        <f t="shared" si="8"/>
        <v>50.01870000000001</v>
      </c>
    </row>
    <row r="188" spans="1:13" ht="20.100000000000001" customHeight="1" x14ac:dyDescent="0.35">
      <c r="A188" s="40">
        <v>3314</v>
      </c>
      <c r="B188" s="58">
        <v>12</v>
      </c>
      <c r="C188" s="58" t="s">
        <v>66</v>
      </c>
      <c r="D188" s="58" t="s">
        <v>127</v>
      </c>
      <c r="E188" s="64" t="s">
        <v>321</v>
      </c>
      <c r="F188" s="66" t="s">
        <v>365</v>
      </c>
      <c r="G188" s="145">
        <v>26.781299999999998</v>
      </c>
      <c r="H188" s="146">
        <v>76.800000000000011</v>
      </c>
      <c r="I188" s="147">
        <v>6.4</v>
      </c>
      <c r="J188" s="137">
        <v>0</v>
      </c>
      <c r="K188" s="138">
        <f t="shared" si="6"/>
        <v>6.4</v>
      </c>
      <c r="L188" s="139">
        <f t="shared" si="7"/>
        <v>76.800000000000011</v>
      </c>
      <c r="M188" s="138">
        <f t="shared" si="8"/>
        <v>50.01870000000001</v>
      </c>
    </row>
    <row r="189" spans="1:13" ht="20.100000000000001" customHeight="1" x14ac:dyDescent="0.35">
      <c r="A189" s="40">
        <v>3531</v>
      </c>
      <c r="B189" s="58">
        <v>6</v>
      </c>
      <c r="C189" s="58" t="s">
        <v>64</v>
      </c>
      <c r="D189" s="58" t="s">
        <v>2</v>
      </c>
      <c r="E189" s="64" t="s">
        <v>267</v>
      </c>
      <c r="F189" s="66" t="s">
        <v>366</v>
      </c>
      <c r="G189" s="145">
        <v>13.390649999999999</v>
      </c>
      <c r="H189" s="146">
        <v>93.6</v>
      </c>
      <c r="I189" s="147">
        <v>15.6</v>
      </c>
      <c r="J189" s="137">
        <v>0</v>
      </c>
      <c r="K189" s="138">
        <f t="shared" si="6"/>
        <v>15.6</v>
      </c>
      <c r="L189" s="139">
        <f t="shared" si="7"/>
        <v>93.6</v>
      </c>
      <c r="M189" s="138">
        <f t="shared" si="8"/>
        <v>80.209350000000001</v>
      </c>
    </row>
    <row r="190" spans="1:13" ht="20.100000000000001" customHeight="1" x14ac:dyDescent="0.35">
      <c r="A190" s="40" t="s">
        <v>367</v>
      </c>
      <c r="B190" s="58">
        <v>6</v>
      </c>
      <c r="C190" s="58" t="s">
        <v>64</v>
      </c>
      <c r="D190" s="58" t="s">
        <v>2</v>
      </c>
      <c r="E190" s="64" t="s">
        <v>42</v>
      </c>
      <c r="F190" s="66" t="s">
        <v>368</v>
      </c>
      <c r="G190" s="145">
        <v>26.781299999999998</v>
      </c>
      <c r="H190" s="146">
        <v>108.78</v>
      </c>
      <c r="I190" s="147">
        <v>18.8</v>
      </c>
      <c r="J190" s="137">
        <v>0</v>
      </c>
      <c r="K190" s="138">
        <f t="shared" si="6"/>
        <v>18.8</v>
      </c>
      <c r="L190" s="139">
        <f t="shared" si="7"/>
        <v>112.80000000000001</v>
      </c>
      <c r="M190" s="138">
        <f t="shared" si="8"/>
        <v>86.01870000000001</v>
      </c>
    </row>
    <row r="191" spans="1:13" ht="20.100000000000001" customHeight="1" x14ac:dyDescent="0.35">
      <c r="A191" s="40">
        <v>1608</v>
      </c>
      <c r="B191" s="58">
        <v>12</v>
      </c>
      <c r="C191" s="58" t="s">
        <v>168</v>
      </c>
      <c r="D191" s="58" t="s">
        <v>138</v>
      </c>
      <c r="E191" s="64" t="s">
        <v>139</v>
      </c>
      <c r="F191" s="66" t="s">
        <v>369</v>
      </c>
      <c r="G191" s="145">
        <v>26.781299999999998</v>
      </c>
      <c r="H191" s="146">
        <v>91.199999999999989</v>
      </c>
      <c r="I191" s="147">
        <v>7.6</v>
      </c>
      <c r="J191" s="137">
        <v>0</v>
      </c>
      <c r="K191" s="138">
        <f t="shared" si="6"/>
        <v>7.6</v>
      </c>
      <c r="L191" s="139">
        <f t="shared" si="7"/>
        <v>91.199999999999989</v>
      </c>
      <c r="M191" s="138">
        <f t="shared" si="8"/>
        <v>64.418699999999987</v>
      </c>
    </row>
    <row r="192" spans="1:13" ht="20.100000000000001" customHeight="1" x14ac:dyDescent="0.35">
      <c r="A192" s="40">
        <v>3063</v>
      </c>
      <c r="B192" s="58">
        <v>6</v>
      </c>
      <c r="C192" s="58" t="s">
        <v>64</v>
      </c>
      <c r="D192" s="58" t="s">
        <v>3</v>
      </c>
      <c r="E192" s="64" t="s">
        <v>252</v>
      </c>
      <c r="F192" s="66" t="s">
        <v>370</v>
      </c>
      <c r="G192" s="145">
        <v>13.390649999999999</v>
      </c>
      <c r="H192" s="146">
        <v>34.799999999999997</v>
      </c>
      <c r="I192" s="147">
        <v>5.8</v>
      </c>
      <c r="J192" s="137">
        <v>0</v>
      </c>
      <c r="K192" s="138">
        <f t="shared" si="6"/>
        <v>5.8</v>
      </c>
      <c r="L192" s="139">
        <f t="shared" si="7"/>
        <v>34.799999999999997</v>
      </c>
      <c r="M192" s="138">
        <f t="shared" si="8"/>
        <v>21.409349999999996</v>
      </c>
    </row>
    <row r="193" spans="1:13" ht="20.100000000000001" customHeight="1" x14ac:dyDescent="0.35">
      <c r="A193" s="40">
        <v>3533</v>
      </c>
      <c r="B193" s="58">
        <v>12</v>
      </c>
      <c r="C193" s="58" t="s">
        <v>65</v>
      </c>
      <c r="D193" s="58" t="s">
        <v>2</v>
      </c>
      <c r="E193" s="64" t="s">
        <v>41</v>
      </c>
      <c r="F193" s="66" t="s">
        <v>371</v>
      </c>
      <c r="G193" s="145">
        <v>26.781299999999998</v>
      </c>
      <c r="H193" s="146">
        <v>104.39999999999999</v>
      </c>
      <c r="I193" s="147">
        <v>8.6999999999999993</v>
      </c>
      <c r="J193" s="137">
        <v>0</v>
      </c>
      <c r="K193" s="138">
        <f t="shared" si="6"/>
        <v>8.6999999999999993</v>
      </c>
      <c r="L193" s="139">
        <f t="shared" si="7"/>
        <v>104.39999999999999</v>
      </c>
      <c r="M193" s="138">
        <f t="shared" si="8"/>
        <v>77.61869999999999</v>
      </c>
    </row>
    <row r="194" spans="1:13" ht="20.100000000000001" customHeight="1" x14ac:dyDescent="0.35">
      <c r="A194" s="40">
        <v>3539</v>
      </c>
      <c r="B194" s="58">
        <v>6</v>
      </c>
      <c r="C194" s="58" t="s">
        <v>64</v>
      </c>
      <c r="D194" s="58" t="s">
        <v>2</v>
      </c>
      <c r="E194" s="64" t="s">
        <v>250</v>
      </c>
      <c r="F194" s="66" t="s">
        <v>372</v>
      </c>
      <c r="G194" s="145">
        <v>13.390649999999999</v>
      </c>
      <c r="H194" s="146">
        <v>52.199999999999996</v>
      </c>
      <c r="I194" s="147">
        <v>8.6999999999999993</v>
      </c>
      <c r="J194" s="137">
        <v>0</v>
      </c>
      <c r="K194" s="138">
        <f t="shared" si="6"/>
        <v>8.6999999999999993</v>
      </c>
      <c r="L194" s="139">
        <f t="shared" si="7"/>
        <v>52.199999999999996</v>
      </c>
      <c r="M194" s="138">
        <f t="shared" si="8"/>
        <v>38.809349999999995</v>
      </c>
    </row>
    <row r="195" spans="1:13" ht="20.100000000000001" customHeight="1" x14ac:dyDescent="0.35">
      <c r="A195" s="40">
        <v>3540</v>
      </c>
      <c r="B195" s="58">
        <v>6</v>
      </c>
      <c r="C195" s="58" t="s">
        <v>65</v>
      </c>
      <c r="D195" s="58" t="s">
        <v>2</v>
      </c>
      <c r="E195" s="64" t="s">
        <v>48</v>
      </c>
      <c r="F195" s="66" t="s">
        <v>373</v>
      </c>
      <c r="G195" s="145">
        <v>13.390649999999999</v>
      </c>
      <c r="H195" s="146">
        <v>38.400000000000006</v>
      </c>
      <c r="I195" s="147">
        <v>6.4</v>
      </c>
      <c r="J195" s="137">
        <v>0</v>
      </c>
      <c r="K195" s="138">
        <f t="shared" si="6"/>
        <v>6.4</v>
      </c>
      <c r="L195" s="139">
        <f t="shared" si="7"/>
        <v>38.400000000000006</v>
      </c>
      <c r="M195" s="138">
        <f t="shared" si="8"/>
        <v>25.009350000000005</v>
      </c>
    </row>
    <row r="196" spans="1:13" ht="20.100000000000001" customHeight="1" x14ac:dyDescent="0.35">
      <c r="A196" s="40">
        <v>3541</v>
      </c>
      <c r="B196" s="58">
        <v>6</v>
      </c>
      <c r="C196" s="58" t="s">
        <v>64</v>
      </c>
      <c r="D196" s="58" t="s">
        <v>2</v>
      </c>
      <c r="E196" s="64" t="s">
        <v>48</v>
      </c>
      <c r="F196" s="66" t="s">
        <v>374</v>
      </c>
      <c r="G196" s="145">
        <v>13.390649999999999</v>
      </c>
      <c r="H196" s="146">
        <v>38.400000000000006</v>
      </c>
      <c r="I196" s="147">
        <v>6.4</v>
      </c>
      <c r="J196" s="137">
        <v>0</v>
      </c>
      <c r="K196" s="138">
        <f t="shared" ref="K196:K252" si="9">SUM(I196*(1-J196))</f>
        <v>6.4</v>
      </c>
      <c r="L196" s="139">
        <f t="shared" ref="L196:L252" si="10">K196*B196</f>
        <v>38.400000000000006</v>
      </c>
      <c r="M196" s="138">
        <f t="shared" ref="M196:M252" si="11">L196-G196</f>
        <v>25.009350000000005</v>
      </c>
    </row>
    <row r="197" spans="1:13" ht="20.100000000000001" customHeight="1" x14ac:dyDescent="0.35">
      <c r="A197" s="40">
        <v>2803</v>
      </c>
      <c r="B197" s="58">
        <v>12</v>
      </c>
      <c r="C197" s="58" t="s">
        <v>64</v>
      </c>
      <c r="D197" s="58" t="s">
        <v>6</v>
      </c>
      <c r="E197" s="64" t="s">
        <v>43</v>
      </c>
      <c r="F197" s="66" t="s">
        <v>375</v>
      </c>
      <c r="G197" s="145">
        <v>26.781299999999998</v>
      </c>
      <c r="H197" s="146">
        <v>70.800000000000011</v>
      </c>
      <c r="I197" s="147">
        <v>5.9</v>
      </c>
      <c r="J197" s="137">
        <v>0</v>
      </c>
      <c r="K197" s="138">
        <f t="shared" si="9"/>
        <v>5.9</v>
      </c>
      <c r="L197" s="139">
        <f t="shared" si="10"/>
        <v>70.800000000000011</v>
      </c>
      <c r="M197" s="138">
        <f t="shared" si="11"/>
        <v>44.01870000000001</v>
      </c>
    </row>
    <row r="198" spans="1:13" ht="20.100000000000001" customHeight="1" x14ac:dyDescent="0.35">
      <c r="A198" s="40">
        <v>3294</v>
      </c>
      <c r="B198" s="58">
        <v>6</v>
      </c>
      <c r="C198" s="58" t="s">
        <v>66</v>
      </c>
      <c r="D198" s="58" t="s">
        <v>0</v>
      </c>
      <c r="E198" s="64" t="s">
        <v>193</v>
      </c>
      <c r="F198" s="66" t="s">
        <v>376</v>
      </c>
      <c r="G198" s="145">
        <v>13.390649999999999</v>
      </c>
      <c r="H198" s="146">
        <v>35.400000000000006</v>
      </c>
      <c r="I198" s="147">
        <v>5.9</v>
      </c>
      <c r="J198" s="137">
        <v>0</v>
      </c>
      <c r="K198" s="138">
        <f t="shared" si="9"/>
        <v>5.9</v>
      </c>
      <c r="L198" s="139">
        <f t="shared" si="10"/>
        <v>35.400000000000006</v>
      </c>
      <c r="M198" s="138">
        <f t="shared" si="11"/>
        <v>22.009350000000005</v>
      </c>
    </row>
    <row r="199" spans="1:13" ht="20.100000000000001" customHeight="1" x14ac:dyDescent="0.35">
      <c r="A199" s="40">
        <v>3295</v>
      </c>
      <c r="B199" s="58">
        <v>6</v>
      </c>
      <c r="C199" s="58" t="s">
        <v>64</v>
      </c>
      <c r="D199" s="58" t="s">
        <v>0</v>
      </c>
      <c r="E199" s="64" t="s">
        <v>193</v>
      </c>
      <c r="F199" s="66" t="s">
        <v>377</v>
      </c>
      <c r="G199" s="145">
        <v>13.390649999999999</v>
      </c>
      <c r="H199" s="146">
        <v>35.400000000000006</v>
      </c>
      <c r="I199" s="147">
        <v>5.9</v>
      </c>
      <c r="J199" s="137">
        <v>0</v>
      </c>
      <c r="K199" s="138">
        <f t="shared" si="9"/>
        <v>5.9</v>
      </c>
      <c r="L199" s="139">
        <f t="shared" si="10"/>
        <v>35.400000000000006</v>
      </c>
      <c r="M199" s="138">
        <f t="shared" si="11"/>
        <v>22.009350000000005</v>
      </c>
    </row>
    <row r="200" spans="1:13" ht="20.100000000000001" customHeight="1" x14ac:dyDescent="0.35">
      <c r="A200" s="40" t="s">
        <v>378</v>
      </c>
      <c r="B200" s="58">
        <v>12</v>
      </c>
      <c r="C200" s="58" t="s">
        <v>65</v>
      </c>
      <c r="D200" s="58" t="s">
        <v>6</v>
      </c>
      <c r="E200" s="64" t="s">
        <v>43</v>
      </c>
      <c r="F200" s="66" t="s">
        <v>379</v>
      </c>
      <c r="G200" s="145">
        <v>26.781299999999998</v>
      </c>
      <c r="H200" s="146">
        <v>70.800000000000011</v>
      </c>
      <c r="I200" s="147">
        <v>5.9</v>
      </c>
      <c r="J200" s="137">
        <v>0</v>
      </c>
      <c r="K200" s="138">
        <f t="shared" si="9"/>
        <v>5.9</v>
      </c>
      <c r="L200" s="139">
        <f t="shared" si="10"/>
        <v>70.800000000000011</v>
      </c>
      <c r="M200" s="138">
        <f t="shared" si="11"/>
        <v>44.01870000000001</v>
      </c>
    </row>
    <row r="201" spans="1:13" ht="20.100000000000001" customHeight="1" x14ac:dyDescent="0.35">
      <c r="A201" s="40" t="s">
        <v>380</v>
      </c>
      <c r="B201" s="58">
        <v>12</v>
      </c>
      <c r="C201" s="58" t="s">
        <v>65</v>
      </c>
      <c r="D201" s="58" t="s">
        <v>6</v>
      </c>
      <c r="E201" s="64" t="s">
        <v>43</v>
      </c>
      <c r="F201" s="66" t="s">
        <v>381</v>
      </c>
      <c r="G201" s="145">
        <v>26.781299999999998</v>
      </c>
      <c r="H201" s="146">
        <v>70.800000000000011</v>
      </c>
      <c r="I201" s="147">
        <v>5.9</v>
      </c>
      <c r="J201" s="137">
        <v>0</v>
      </c>
      <c r="K201" s="138">
        <f t="shared" si="9"/>
        <v>5.9</v>
      </c>
      <c r="L201" s="139">
        <f t="shared" si="10"/>
        <v>70.800000000000011</v>
      </c>
      <c r="M201" s="138">
        <f t="shared" si="11"/>
        <v>44.01870000000001</v>
      </c>
    </row>
    <row r="202" spans="1:13" ht="20.100000000000001" customHeight="1" x14ac:dyDescent="0.35">
      <c r="A202" s="40">
        <v>3257</v>
      </c>
      <c r="B202" s="58">
        <v>6</v>
      </c>
      <c r="C202" s="58" t="s">
        <v>64</v>
      </c>
      <c r="D202" s="58" t="s">
        <v>0</v>
      </c>
      <c r="E202" s="64" t="s">
        <v>40</v>
      </c>
      <c r="F202" s="66" t="s">
        <v>382</v>
      </c>
      <c r="G202" s="145">
        <v>13.390649999999999</v>
      </c>
      <c r="H202" s="146">
        <v>58.800000000000004</v>
      </c>
      <c r="I202" s="147">
        <v>9.8000000000000007</v>
      </c>
      <c r="J202" s="137">
        <v>0</v>
      </c>
      <c r="K202" s="138">
        <f t="shared" si="9"/>
        <v>9.8000000000000007</v>
      </c>
      <c r="L202" s="139">
        <f t="shared" si="10"/>
        <v>58.800000000000004</v>
      </c>
      <c r="M202" s="138">
        <f t="shared" si="11"/>
        <v>45.409350000000003</v>
      </c>
    </row>
    <row r="203" spans="1:13" ht="20.100000000000001" customHeight="1" x14ac:dyDescent="0.35">
      <c r="A203" s="40">
        <v>1222</v>
      </c>
      <c r="B203" s="58">
        <v>6</v>
      </c>
      <c r="C203" s="58" t="s">
        <v>65</v>
      </c>
      <c r="D203" s="58" t="s">
        <v>4</v>
      </c>
      <c r="E203" s="64" t="s">
        <v>23</v>
      </c>
      <c r="F203" s="66" t="s">
        <v>383</v>
      </c>
      <c r="G203" s="145">
        <v>13.390649999999999</v>
      </c>
      <c r="H203" s="146">
        <v>39.599999999999994</v>
      </c>
      <c r="I203" s="147">
        <v>6.6</v>
      </c>
      <c r="J203" s="137">
        <v>0</v>
      </c>
      <c r="K203" s="138">
        <f t="shared" si="9"/>
        <v>6.6</v>
      </c>
      <c r="L203" s="139">
        <f t="shared" si="10"/>
        <v>39.599999999999994</v>
      </c>
      <c r="M203" s="138">
        <f t="shared" si="11"/>
        <v>26.209349999999993</v>
      </c>
    </row>
    <row r="204" spans="1:13" ht="20.100000000000001" customHeight="1" x14ac:dyDescent="0.35">
      <c r="A204" s="40" t="s">
        <v>384</v>
      </c>
      <c r="B204" s="58">
        <v>6</v>
      </c>
      <c r="C204" s="58" t="s">
        <v>64</v>
      </c>
      <c r="D204" s="58" t="s">
        <v>2</v>
      </c>
      <c r="E204" s="64" t="s">
        <v>42</v>
      </c>
      <c r="F204" s="66" t="s">
        <v>385</v>
      </c>
      <c r="G204" s="145">
        <v>13.390649999999999</v>
      </c>
      <c r="H204" s="146">
        <v>66.239999999999995</v>
      </c>
      <c r="I204" s="147">
        <v>11.4</v>
      </c>
      <c r="J204" s="137">
        <v>0</v>
      </c>
      <c r="K204" s="138">
        <f t="shared" si="9"/>
        <v>11.4</v>
      </c>
      <c r="L204" s="139">
        <f t="shared" si="10"/>
        <v>68.400000000000006</v>
      </c>
      <c r="M204" s="138">
        <f t="shared" si="11"/>
        <v>55.009350000000005</v>
      </c>
    </row>
    <row r="205" spans="1:13" ht="20.100000000000001" customHeight="1" x14ac:dyDescent="0.35">
      <c r="A205" s="40">
        <v>3070</v>
      </c>
      <c r="B205" s="58">
        <v>6</v>
      </c>
      <c r="C205" s="58" t="s">
        <v>64</v>
      </c>
      <c r="D205" s="58" t="s">
        <v>3</v>
      </c>
      <c r="E205" s="64" t="s">
        <v>39</v>
      </c>
      <c r="F205" s="66" t="s">
        <v>386</v>
      </c>
      <c r="G205" s="145">
        <v>13.390649999999999</v>
      </c>
      <c r="H205" s="146">
        <v>60.599999999999994</v>
      </c>
      <c r="I205" s="147">
        <v>10.1</v>
      </c>
      <c r="J205" s="137">
        <v>0</v>
      </c>
      <c r="K205" s="138">
        <f t="shared" si="9"/>
        <v>10.1</v>
      </c>
      <c r="L205" s="139">
        <f t="shared" si="10"/>
        <v>60.599999999999994</v>
      </c>
      <c r="M205" s="138">
        <f t="shared" si="11"/>
        <v>47.209349999999993</v>
      </c>
    </row>
    <row r="206" spans="1:13" ht="20.100000000000001" customHeight="1" x14ac:dyDescent="0.35">
      <c r="A206" s="40" t="s">
        <v>387</v>
      </c>
      <c r="B206" s="58">
        <v>6</v>
      </c>
      <c r="C206" s="58" t="s">
        <v>65</v>
      </c>
      <c r="D206" s="58" t="s">
        <v>288</v>
      </c>
      <c r="E206" s="64" t="s">
        <v>388</v>
      </c>
      <c r="F206" s="66" t="s">
        <v>389</v>
      </c>
      <c r="G206" s="145">
        <v>13.390649999999999</v>
      </c>
      <c r="H206" s="146">
        <v>60.599999999999994</v>
      </c>
      <c r="I206" s="147">
        <v>10.1</v>
      </c>
      <c r="J206" s="137">
        <v>0</v>
      </c>
      <c r="K206" s="138">
        <f t="shared" si="9"/>
        <v>10.1</v>
      </c>
      <c r="L206" s="139">
        <f t="shared" si="10"/>
        <v>60.599999999999994</v>
      </c>
      <c r="M206" s="138">
        <f t="shared" si="11"/>
        <v>47.209349999999993</v>
      </c>
    </row>
    <row r="207" spans="1:13" ht="20.100000000000001" customHeight="1" x14ac:dyDescent="0.35">
      <c r="A207" s="40" t="s">
        <v>390</v>
      </c>
      <c r="B207" s="58">
        <v>12</v>
      </c>
      <c r="C207" s="58" t="s">
        <v>168</v>
      </c>
      <c r="D207" s="58" t="s">
        <v>121</v>
      </c>
      <c r="E207" s="64" t="s">
        <v>122</v>
      </c>
      <c r="F207" s="66" t="s">
        <v>391</v>
      </c>
      <c r="G207" s="145">
        <v>13.390649999999999</v>
      </c>
      <c r="H207" s="146">
        <v>181.2</v>
      </c>
      <c r="I207" s="147">
        <v>15.1</v>
      </c>
      <c r="J207" s="137">
        <v>0</v>
      </c>
      <c r="K207" s="138">
        <f t="shared" si="9"/>
        <v>15.1</v>
      </c>
      <c r="L207" s="139">
        <f t="shared" si="10"/>
        <v>181.2</v>
      </c>
      <c r="M207" s="138">
        <f t="shared" si="11"/>
        <v>167.80934999999999</v>
      </c>
    </row>
    <row r="208" spans="1:13" ht="20.100000000000001" customHeight="1" x14ac:dyDescent="0.35">
      <c r="A208" s="40" t="s">
        <v>392</v>
      </c>
      <c r="B208" s="58">
        <v>12</v>
      </c>
      <c r="C208" s="58" t="s">
        <v>168</v>
      </c>
      <c r="D208" s="58" t="s">
        <v>121</v>
      </c>
      <c r="E208" s="64" t="s">
        <v>122</v>
      </c>
      <c r="F208" s="66" t="s">
        <v>393</v>
      </c>
      <c r="G208" s="145">
        <v>13.390649999999999</v>
      </c>
      <c r="H208" s="146">
        <v>181.2</v>
      </c>
      <c r="I208" s="147">
        <v>15.1</v>
      </c>
      <c r="J208" s="137">
        <v>0</v>
      </c>
      <c r="K208" s="138">
        <f t="shared" si="9"/>
        <v>15.1</v>
      </c>
      <c r="L208" s="139">
        <f t="shared" si="10"/>
        <v>181.2</v>
      </c>
      <c r="M208" s="138">
        <f t="shared" si="11"/>
        <v>167.80934999999999</v>
      </c>
    </row>
    <row r="209" spans="1:13" ht="20.100000000000001" customHeight="1" x14ac:dyDescent="0.35">
      <c r="A209" s="40">
        <v>3481</v>
      </c>
      <c r="B209" s="58">
        <v>12</v>
      </c>
      <c r="C209" s="58" t="s">
        <v>65</v>
      </c>
      <c r="D209" s="58" t="s">
        <v>2</v>
      </c>
      <c r="E209" s="64" t="s">
        <v>42</v>
      </c>
      <c r="F209" s="66" t="s">
        <v>69</v>
      </c>
      <c r="G209" s="145">
        <v>26.781299999999998</v>
      </c>
      <c r="H209" s="146">
        <v>102</v>
      </c>
      <c r="I209" s="147">
        <v>8.5</v>
      </c>
      <c r="J209" s="137">
        <v>0</v>
      </c>
      <c r="K209" s="138">
        <f t="shared" si="9"/>
        <v>8.5</v>
      </c>
      <c r="L209" s="139">
        <f t="shared" si="10"/>
        <v>102</v>
      </c>
      <c r="M209" s="138">
        <f t="shared" si="11"/>
        <v>75.218699999999998</v>
      </c>
    </row>
    <row r="210" spans="1:13" ht="20.100000000000001" customHeight="1" x14ac:dyDescent="0.35">
      <c r="A210" s="40">
        <v>3074</v>
      </c>
      <c r="B210" s="58">
        <v>6</v>
      </c>
      <c r="C210" s="58" t="s">
        <v>64</v>
      </c>
      <c r="D210" s="58" t="s">
        <v>3</v>
      </c>
      <c r="E210" s="64" t="s">
        <v>394</v>
      </c>
      <c r="F210" s="66" t="s">
        <v>395</v>
      </c>
      <c r="G210" s="145">
        <v>13.390649999999999</v>
      </c>
      <c r="H210" s="146">
        <v>42.599999999999994</v>
      </c>
      <c r="I210" s="147">
        <v>7.1</v>
      </c>
      <c r="J210" s="137">
        <v>0</v>
      </c>
      <c r="K210" s="138">
        <f t="shared" si="9"/>
        <v>7.1</v>
      </c>
      <c r="L210" s="139">
        <f t="shared" si="10"/>
        <v>42.599999999999994</v>
      </c>
      <c r="M210" s="138">
        <f t="shared" si="11"/>
        <v>29.209349999999993</v>
      </c>
    </row>
    <row r="211" spans="1:13" ht="20.100000000000001" customHeight="1" x14ac:dyDescent="0.35">
      <c r="A211" s="40">
        <v>2886</v>
      </c>
      <c r="B211" s="58">
        <v>6</v>
      </c>
      <c r="C211" s="58" t="s">
        <v>64</v>
      </c>
      <c r="D211" s="58" t="s">
        <v>5</v>
      </c>
      <c r="E211" s="64" t="s">
        <v>238</v>
      </c>
      <c r="F211" s="66" t="s">
        <v>396</v>
      </c>
      <c r="G211" s="145">
        <v>13.390649999999999</v>
      </c>
      <c r="H211" s="146">
        <v>38.400000000000006</v>
      </c>
      <c r="I211" s="147">
        <v>6.4</v>
      </c>
      <c r="J211" s="137">
        <v>0</v>
      </c>
      <c r="K211" s="138">
        <f t="shared" si="9"/>
        <v>6.4</v>
      </c>
      <c r="L211" s="139">
        <f t="shared" si="10"/>
        <v>38.400000000000006</v>
      </c>
      <c r="M211" s="138">
        <f t="shared" si="11"/>
        <v>25.009350000000005</v>
      </c>
    </row>
    <row r="212" spans="1:13" ht="20.100000000000001" customHeight="1" x14ac:dyDescent="0.35">
      <c r="A212" s="40">
        <v>3345</v>
      </c>
      <c r="B212" s="58">
        <v>6</v>
      </c>
      <c r="C212" s="58" t="s">
        <v>66</v>
      </c>
      <c r="D212" s="58" t="s">
        <v>121</v>
      </c>
      <c r="E212" s="64" t="s">
        <v>122</v>
      </c>
      <c r="F212" s="66" t="s">
        <v>397</v>
      </c>
      <c r="G212" s="145">
        <v>13.390649999999999</v>
      </c>
      <c r="H212" s="146">
        <v>38.400000000000006</v>
      </c>
      <c r="I212" s="147">
        <v>6.4</v>
      </c>
      <c r="J212" s="137">
        <v>0</v>
      </c>
      <c r="K212" s="138">
        <f t="shared" si="9"/>
        <v>6.4</v>
      </c>
      <c r="L212" s="139">
        <f t="shared" si="10"/>
        <v>38.400000000000006</v>
      </c>
      <c r="M212" s="138">
        <f t="shared" si="11"/>
        <v>25.009350000000005</v>
      </c>
    </row>
    <row r="213" spans="1:13" ht="20.100000000000001" customHeight="1" x14ac:dyDescent="0.35">
      <c r="A213" s="40">
        <v>3156</v>
      </c>
      <c r="B213" s="58">
        <v>6</v>
      </c>
      <c r="C213" s="58" t="s">
        <v>65</v>
      </c>
      <c r="D213" s="58" t="s">
        <v>2</v>
      </c>
      <c r="E213" s="64" t="s">
        <v>42</v>
      </c>
      <c r="F213" s="66" t="s">
        <v>398</v>
      </c>
      <c r="G213" s="145">
        <v>13.390649999999999</v>
      </c>
      <c r="H213" s="146">
        <v>82.320000000000007</v>
      </c>
      <c r="I213" s="147">
        <v>14.1</v>
      </c>
      <c r="J213" s="137">
        <v>0</v>
      </c>
      <c r="K213" s="138">
        <f t="shared" si="9"/>
        <v>14.1</v>
      </c>
      <c r="L213" s="139">
        <f t="shared" si="10"/>
        <v>84.6</v>
      </c>
      <c r="M213" s="138">
        <f t="shared" si="11"/>
        <v>71.209350000000001</v>
      </c>
    </row>
    <row r="214" spans="1:13" ht="20.100000000000001" customHeight="1" x14ac:dyDescent="0.35">
      <c r="A214" s="40">
        <v>3543</v>
      </c>
      <c r="B214" s="58">
        <v>6</v>
      </c>
      <c r="C214" s="58" t="s">
        <v>64</v>
      </c>
      <c r="D214" s="58" t="s">
        <v>2</v>
      </c>
      <c r="E214" s="64" t="s">
        <v>48</v>
      </c>
      <c r="F214" s="66" t="s">
        <v>399</v>
      </c>
      <c r="G214" s="145">
        <v>13.390649999999999</v>
      </c>
      <c r="H214" s="146">
        <v>47.400000000000006</v>
      </c>
      <c r="I214" s="147">
        <v>7.9</v>
      </c>
      <c r="J214" s="137">
        <v>0</v>
      </c>
      <c r="K214" s="138">
        <f t="shared" si="9"/>
        <v>7.9</v>
      </c>
      <c r="L214" s="139">
        <f t="shared" si="10"/>
        <v>47.400000000000006</v>
      </c>
      <c r="M214" s="138">
        <f t="shared" si="11"/>
        <v>34.009350000000005</v>
      </c>
    </row>
    <row r="215" spans="1:13" ht="20.100000000000001" customHeight="1" x14ac:dyDescent="0.35">
      <c r="A215" s="40">
        <v>3550</v>
      </c>
      <c r="B215" s="58">
        <v>6</v>
      </c>
      <c r="C215" s="58" t="s">
        <v>65</v>
      </c>
      <c r="D215" s="58" t="s">
        <v>2</v>
      </c>
      <c r="E215" s="64" t="s">
        <v>400</v>
      </c>
      <c r="F215" s="66" t="s">
        <v>401</v>
      </c>
      <c r="G215" s="145">
        <v>13.390649999999999</v>
      </c>
      <c r="H215" s="146">
        <v>48.599999999999994</v>
      </c>
      <c r="I215" s="147">
        <v>8.1</v>
      </c>
      <c r="J215" s="137">
        <v>0</v>
      </c>
      <c r="K215" s="138">
        <f t="shared" si="9"/>
        <v>8.1</v>
      </c>
      <c r="L215" s="139">
        <f t="shared" si="10"/>
        <v>48.599999999999994</v>
      </c>
      <c r="M215" s="138">
        <f t="shared" si="11"/>
        <v>35.209349999999993</v>
      </c>
    </row>
    <row r="216" spans="1:13" ht="20.100000000000001" customHeight="1" x14ac:dyDescent="0.35">
      <c r="A216" s="40">
        <v>3551</v>
      </c>
      <c r="B216" s="58">
        <v>6</v>
      </c>
      <c r="C216" s="58" t="s">
        <v>65</v>
      </c>
      <c r="D216" s="58" t="s">
        <v>2</v>
      </c>
      <c r="E216" s="64" t="s">
        <v>400</v>
      </c>
      <c r="F216" s="66" t="s">
        <v>402</v>
      </c>
      <c r="G216" s="145">
        <v>13.390649999999999</v>
      </c>
      <c r="H216" s="146">
        <v>48.599999999999994</v>
      </c>
      <c r="I216" s="147">
        <v>8.1</v>
      </c>
      <c r="J216" s="137">
        <v>0</v>
      </c>
      <c r="K216" s="138">
        <f t="shared" si="9"/>
        <v>8.1</v>
      </c>
      <c r="L216" s="139">
        <f t="shared" si="10"/>
        <v>48.599999999999994</v>
      </c>
      <c r="M216" s="138">
        <f t="shared" si="11"/>
        <v>35.209349999999993</v>
      </c>
    </row>
    <row r="217" spans="1:13" ht="20.100000000000001" customHeight="1" x14ac:dyDescent="0.35">
      <c r="A217" s="40">
        <v>3474</v>
      </c>
      <c r="B217" s="58">
        <v>6</v>
      </c>
      <c r="C217" s="58" t="s">
        <v>65</v>
      </c>
      <c r="D217" s="58" t="s">
        <v>2</v>
      </c>
      <c r="E217" s="64" t="s">
        <v>42</v>
      </c>
      <c r="F217" s="66" t="s">
        <v>403</v>
      </c>
      <c r="G217" s="145">
        <v>13.390649999999999</v>
      </c>
      <c r="H217" s="146">
        <v>57</v>
      </c>
      <c r="I217" s="147">
        <v>9.5</v>
      </c>
      <c r="J217" s="137">
        <v>0</v>
      </c>
      <c r="K217" s="138">
        <f t="shared" si="9"/>
        <v>9.5</v>
      </c>
      <c r="L217" s="139">
        <f t="shared" si="10"/>
        <v>57</v>
      </c>
      <c r="M217" s="138">
        <f t="shared" si="11"/>
        <v>43.609349999999999</v>
      </c>
    </row>
    <row r="218" spans="1:13" ht="20.100000000000001" customHeight="1" x14ac:dyDescent="0.35">
      <c r="A218" s="40">
        <v>3480</v>
      </c>
      <c r="B218" s="58">
        <v>6</v>
      </c>
      <c r="C218" s="58" t="s">
        <v>65</v>
      </c>
      <c r="D218" s="58" t="s">
        <v>2</v>
      </c>
      <c r="E218" s="64" t="s">
        <v>42</v>
      </c>
      <c r="F218" s="66" t="s">
        <v>404</v>
      </c>
      <c r="G218" s="145">
        <v>13.390649999999999</v>
      </c>
      <c r="H218" s="146">
        <v>57</v>
      </c>
      <c r="I218" s="147">
        <v>9.5</v>
      </c>
      <c r="J218" s="137">
        <v>0</v>
      </c>
      <c r="K218" s="138">
        <f t="shared" si="9"/>
        <v>9.5</v>
      </c>
      <c r="L218" s="139">
        <f t="shared" si="10"/>
        <v>57</v>
      </c>
      <c r="M218" s="138">
        <f t="shared" si="11"/>
        <v>43.609349999999999</v>
      </c>
    </row>
    <row r="219" spans="1:13" ht="20.100000000000001" customHeight="1" x14ac:dyDescent="0.35">
      <c r="A219" s="40">
        <v>1840</v>
      </c>
      <c r="B219" s="58">
        <v>6</v>
      </c>
      <c r="C219" s="58" t="s">
        <v>67</v>
      </c>
      <c r="D219" s="58" t="s">
        <v>0</v>
      </c>
      <c r="E219" s="64" t="s">
        <v>193</v>
      </c>
      <c r="F219" s="66" t="s">
        <v>405</v>
      </c>
      <c r="G219" s="145">
        <v>17.15175</v>
      </c>
      <c r="H219" s="146">
        <v>49.800000000000004</v>
      </c>
      <c r="I219" s="147">
        <v>8.3000000000000007</v>
      </c>
      <c r="J219" s="137">
        <v>0</v>
      </c>
      <c r="K219" s="138">
        <f t="shared" si="9"/>
        <v>8.3000000000000007</v>
      </c>
      <c r="L219" s="139">
        <f t="shared" si="10"/>
        <v>49.800000000000004</v>
      </c>
      <c r="M219" s="138">
        <f t="shared" si="11"/>
        <v>32.648250000000004</v>
      </c>
    </row>
    <row r="220" spans="1:13" ht="20.100000000000001" customHeight="1" x14ac:dyDescent="0.35">
      <c r="A220" s="40">
        <v>1760</v>
      </c>
      <c r="B220" s="58">
        <v>6</v>
      </c>
      <c r="C220" s="58" t="s">
        <v>65</v>
      </c>
      <c r="D220" s="58" t="s">
        <v>5</v>
      </c>
      <c r="E220" s="64" t="s">
        <v>406</v>
      </c>
      <c r="F220" s="66" t="s">
        <v>407</v>
      </c>
      <c r="G220" s="145">
        <v>13.390649999999999</v>
      </c>
      <c r="H220" s="146">
        <v>62.400000000000006</v>
      </c>
      <c r="I220" s="147">
        <v>10.4</v>
      </c>
      <c r="J220" s="137">
        <v>0</v>
      </c>
      <c r="K220" s="138">
        <f t="shared" si="9"/>
        <v>10.4</v>
      </c>
      <c r="L220" s="139">
        <f t="shared" si="10"/>
        <v>62.400000000000006</v>
      </c>
      <c r="M220" s="138">
        <f t="shared" si="11"/>
        <v>49.009350000000005</v>
      </c>
    </row>
    <row r="221" spans="1:13" ht="20.100000000000001" customHeight="1" x14ac:dyDescent="0.35">
      <c r="A221" s="40">
        <v>1761</v>
      </c>
      <c r="B221" s="58">
        <v>6</v>
      </c>
      <c r="C221" s="58" t="s">
        <v>65</v>
      </c>
      <c r="D221" s="58" t="s">
        <v>5</v>
      </c>
      <c r="E221" s="64" t="s">
        <v>406</v>
      </c>
      <c r="F221" s="66" t="s">
        <v>408</v>
      </c>
      <c r="G221" s="145">
        <v>13.390649999999999</v>
      </c>
      <c r="H221" s="146">
        <v>62.400000000000006</v>
      </c>
      <c r="I221" s="147">
        <v>10.4</v>
      </c>
      <c r="J221" s="137">
        <v>0</v>
      </c>
      <c r="K221" s="138">
        <f t="shared" si="9"/>
        <v>10.4</v>
      </c>
      <c r="L221" s="139">
        <f t="shared" si="10"/>
        <v>62.400000000000006</v>
      </c>
      <c r="M221" s="138">
        <f t="shared" si="11"/>
        <v>49.009350000000005</v>
      </c>
    </row>
    <row r="222" spans="1:13" ht="20.100000000000001" customHeight="1" x14ac:dyDescent="0.35">
      <c r="A222" s="40">
        <v>1770</v>
      </c>
      <c r="B222" s="58">
        <v>6</v>
      </c>
      <c r="C222" s="58" t="s">
        <v>65</v>
      </c>
      <c r="D222" s="58" t="s">
        <v>5</v>
      </c>
      <c r="E222" s="64" t="s">
        <v>406</v>
      </c>
      <c r="F222" s="66" t="s">
        <v>409</v>
      </c>
      <c r="G222" s="145">
        <v>13.390649999999999</v>
      </c>
      <c r="H222" s="146">
        <v>62.400000000000006</v>
      </c>
      <c r="I222" s="147">
        <v>10.4</v>
      </c>
      <c r="J222" s="137">
        <v>0</v>
      </c>
      <c r="K222" s="138">
        <f t="shared" si="9"/>
        <v>10.4</v>
      </c>
      <c r="L222" s="139">
        <f t="shared" si="10"/>
        <v>62.400000000000006</v>
      </c>
      <c r="M222" s="138">
        <f t="shared" si="11"/>
        <v>49.009350000000005</v>
      </c>
    </row>
    <row r="223" spans="1:13" ht="20.100000000000001" customHeight="1" x14ac:dyDescent="0.35">
      <c r="A223" s="40">
        <v>3233</v>
      </c>
      <c r="B223" s="58">
        <v>6</v>
      </c>
      <c r="C223" s="58" t="s">
        <v>64</v>
      </c>
      <c r="D223" s="58" t="s">
        <v>0</v>
      </c>
      <c r="E223" s="64" t="s">
        <v>193</v>
      </c>
      <c r="F223" s="66" t="s">
        <v>410</v>
      </c>
      <c r="G223" s="145">
        <v>13.390649999999999</v>
      </c>
      <c r="H223" s="146">
        <v>70.800000000000011</v>
      </c>
      <c r="I223" s="147">
        <v>11.8</v>
      </c>
      <c r="J223" s="137">
        <v>0</v>
      </c>
      <c r="K223" s="138">
        <f t="shared" si="9"/>
        <v>11.8</v>
      </c>
      <c r="L223" s="139">
        <f t="shared" si="10"/>
        <v>70.800000000000011</v>
      </c>
      <c r="M223" s="138">
        <f t="shared" si="11"/>
        <v>57.409350000000011</v>
      </c>
    </row>
    <row r="224" spans="1:13" ht="20.100000000000001" customHeight="1" x14ac:dyDescent="0.35">
      <c r="A224" s="40">
        <v>2210</v>
      </c>
      <c r="B224" s="58">
        <v>6</v>
      </c>
      <c r="C224" s="58" t="s">
        <v>64</v>
      </c>
      <c r="D224" s="58" t="s">
        <v>1</v>
      </c>
      <c r="E224" s="64" t="s">
        <v>411</v>
      </c>
      <c r="F224" s="66" t="s">
        <v>412</v>
      </c>
      <c r="G224" s="145">
        <v>13.390649999999999</v>
      </c>
      <c r="H224" s="146">
        <v>52.800000000000004</v>
      </c>
      <c r="I224" s="147">
        <v>8.8000000000000007</v>
      </c>
      <c r="J224" s="137">
        <v>0</v>
      </c>
      <c r="K224" s="138">
        <f t="shared" si="9"/>
        <v>8.8000000000000007</v>
      </c>
      <c r="L224" s="139">
        <f t="shared" si="10"/>
        <v>52.800000000000004</v>
      </c>
      <c r="M224" s="138">
        <f t="shared" si="11"/>
        <v>39.409350000000003</v>
      </c>
    </row>
    <row r="225" spans="1:13" ht="20.100000000000001" customHeight="1" x14ac:dyDescent="0.35">
      <c r="A225" s="40">
        <v>3477</v>
      </c>
      <c r="B225" s="58">
        <v>12</v>
      </c>
      <c r="C225" s="58" t="s">
        <v>64</v>
      </c>
      <c r="D225" s="58" t="s">
        <v>2</v>
      </c>
      <c r="E225" s="64" t="s">
        <v>229</v>
      </c>
      <c r="F225" s="66" t="s">
        <v>413</v>
      </c>
      <c r="G225" s="145">
        <v>26.781299999999998</v>
      </c>
      <c r="H225" s="146">
        <v>117.60000000000001</v>
      </c>
      <c r="I225" s="147">
        <v>9.8000000000000007</v>
      </c>
      <c r="J225" s="137">
        <v>0</v>
      </c>
      <c r="K225" s="138">
        <f t="shared" si="9"/>
        <v>9.8000000000000007</v>
      </c>
      <c r="L225" s="139">
        <f t="shared" si="10"/>
        <v>117.60000000000001</v>
      </c>
      <c r="M225" s="138">
        <f t="shared" si="11"/>
        <v>90.818700000000007</v>
      </c>
    </row>
    <row r="226" spans="1:13" ht="20.100000000000001" customHeight="1" x14ac:dyDescent="0.35">
      <c r="A226" s="40">
        <v>3552</v>
      </c>
      <c r="B226" s="58">
        <v>6</v>
      </c>
      <c r="C226" s="58" t="s">
        <v>65</v>
      </c>
      <c r="D226" s="58" t="s">
        <v>2</v>
      </c>
      <c r="E226" s="64" t="s">
        <v>400</v>
      </c>
      <c r="F226" s="66" t="s">
        <v>414</v>
      </c>
      <c r="G226" s="145">
        <v>13.390649999999999</v>
      </c>
      <c r="H226" s="146">
        <v>54.599999999999994</v>
      </c>
      <c r="I226" s="147">
        <v>9.1</v>
      </c>
      <c r="J226" s="137">
        <v>0</v>
      </c>
      <c r="K226" s="138">
        <f t="shared" si="9"/>
        <v>9.1</v>
      </c>
      <c r="L226" s="139">
        <f t="shared" si="10"/>
        <v>54.599999999999994</v>
      </c>
      <c r="M226" s="138">
        <f t="shared" si="11"/>
        <v>41.209349999999993</v>
      </c>
    </row>
    <row r="227" spans="1:13" ht="20.100000000000001" customHeight="1" x14ac:dyDescent="0.35">
      <c r="A227" s="40">
        <v>3553</v>
      </c>
      <c r="B227" s="58">
        <v>6</v>
      </c>
      <c r="C227" s="58" t="s">
        <v>65</v>
      </c>
      <c r="D227" s="58" t="s">
        <v>2</v>
      </c>
      <c r="E227" s="64" t="s">
        <v>400</v>
      </c>
      <c r="F227" s="66" t="s">
        <v>415</v>
      </c>
      <c r="G227" s="145">
        <v>13.390649999999999</v>
      </c>
      <c r="H227" s="146">
        <v>54.599999999999994</v>
      </c>
      <c r="I227" s="147">
        <v>9.1</v>
      </c>
      <c r="J227" s="137">
        <v>0</v>
      </c>
      <c r="K227" s="138">
        <f t="shared" si="9"/>
        <v>9.1</v>
      </c>
      <c r="L227" s="139">
        <f t="shared" si="10"/>
        <v>54.599999999999994</v>
      </c>
      <c r="M227" s="138">
        <f t="shared" si="11"/>
        <v>41.209349999999993</v>
      </c>
    </row>
    <row r="228" spans="1:13" ht="20.100000000000001" customHeight="1" x14ac:dyDescent="0.35">
      <c r="A228" s="40">
        <v>2847</v>
      </c>
      <c r="B228" s="58">
        <v>12</v>
      </c>
      <c r="C228" s="58" t="s">
        <v>64</v>
      </c>
      <c r="D228" s="58" t="s">
        <v>288</v>
      </c>
      <c r="E228" s="64" t="s">
        <v>289</v>
      </c>
      <c r="F228" s="66" t="s">
        <v>416</v>
      </c>
      <c r="G228" s="145">
        <v>26.781299999999998</v>
      </c>
      <c r="H228" s="146">
        <v>124.80000000000001</v>
      </c>
      <c r="I228" s="147">
        <v>10.4</v>
      </c>
      <c r="J228" s="137">
        <v>0</v>
      </c>
      <c r="K228" s="138">
        <f t="shared" si="9"/>
        <v>10.4</v>
      </c>
      <c r="L228" s="139">
        <f t="shared" si="10"/>
        <v>124.80000000000001</v>
      </c>
      <c r="M228" s="138">
        <f t="shared" si="11"/>
        <v>98.01870000000001</v>
      </c>
    </row>
    <row r="229" spans="1:13" ht="20.100000000000001" customHeight="1" x14ac:dyDescent="0.35">
      <c r="A229" s="40">
        <v>3258</v>
      </c>
      <c r="B229" s="58">
        <v>6</v>
      </c>
      <c r="C229" s="58" t="s">
        <v>64</v>
      </c>
      <c r="D229" s="58" t="s">
        <v>0</v>
      </c>
      <c r="E229" s="64" t="s">
        <v>40</v>
      </c>
      <c r="F229" s="66" t="s">
        <v>417</v>
      </c>
      <c r="G229" s="145">
        <v>13.390649999999999</v>
      </c>
      <c r="H229" s="146">
        <v>100.80000000000001</v>
      </c>
      <c r="I229" s="147">
        <v>16.8</v>
      </c>
      <c r="J229" s="137">
        <v>0</v>
      </c>
      <c r="K229" s="138">
        <f t="shared" si="9"/>
        <v>16.8</v>
      </c>
      <c r="L229" s="139">
        <f t="shared" si="10"/>
        <v>100.80000000000001</v>
      </c>
      <c r="M229" s="138">
        <f t="shared" si="11"/>
        <v>87.409350000000018</v>
      </c>
    </row>
    <row r="230" spans="1:13" ht="20.100000000000001" customHeight="1" x14ac:dyDescent="0.35">
      <c r="A230" s="40">
        <v>1827</v>
      </c>
      <c r="B230" s="58">
        <v>6</v>
      </c>
      <c r="C230" s="58" t="s">
        <v>67</v>
      </c>
      <c r="D230" s="58" t="s">
        <v>0</v>
      </c>
      <c r="E230" s="64" t="s">
        <v>193</v>
      </c>
      <c r="F230" s="66" t="s">
        <v>418</v>
      </c>
      <c r="G230" s="145">
        <v>17.15175</v>
      </c>
      <c r="H230" s="146">
        <v>72.599999999999994</v>
      </c>
      <c r="I230" s="147">
        <v>12.1</v>
      </c>
      <c r="J230" s="137">
        <v>0</v>
      </c>
      <c r="K230" s="138">
        <f t="shared" si="9"/>
        <v>12.1</v>
      </c>
      <c r="L230" s="139">
        <f t="shared" si="10"/>
        <v>72.599999999999994</v>
      </c>
      <c r="M230" s="138">
        <f t="shared" si="11"/>
        <v>55.448249999999994</v>
      </c>
    </row>
    <row r="231" spans="1:13" ht="20.100000000000001" customHeight="1" x14ac:dyDescent="0.35">
      <c r="A231" s="40">
        <v>2844</v>
      </c>
      <c r="B231" s="58">
        <v>12</v>
      </c>
      <c r="C231" s="58" t="s">
        <v>65</v>
      </c>
      <c r="D231" s="58" t="s">
        <v>288</v>
      </c>
      <c r="E231" s="64" t="s">
        <v>289</v>
      </c>
      <c r="F231" s="66" t="s">
        <v>419</v>
      </c>
      <c r="G231" s="145">
        <v>26.781299999999998</v>
      </c>
      <c r="H231" s="146">
        <v>148.80000000000001</v>
      </c>
      <c r="I231" s="147">
        <v>12.4</v>
      </c>
      <c r="J231" s="137">
        <v>0</v>
      </c>
      <c r="K231" s="138">
        <f t="shared" si="9"/>
        <v>12.4</v>
      </c>
      <c r="L231" s="139">
        <f t="shared" si="10"/>
        <v>148.80000000000001</v>
      </c>
      <c r="M231" s="138">
        <f t="shared" si="11"/>
        <v>122.01870000000001</v>
      </c>
    </row>
    <row r="232" spans="1:13" ht="20.100000000000001" customHeight="1" x14ac:dyDescent="0.35">
      <c r="A232" s="40">
        <v>2725</v>
      </c>
      <c r="B232" s="58">
        <v>12</v>
      </c>
      <c r="C232" s="58" t="s">
        <v>64</v>
      </c>
      <c r="D232" s="58" t="s">
        <v>1</v>
      </c>
      <c r="E232" s="64" t="s">
        <v>154</v>
      </c>
      <c r="F232" s="66" t="s">
        <v>420</v>
      </c>
      <c r="G232" s="145">
        <v>26.781299999999998</v>
      </c>
      <c r="H232" s="146">
        <v>142.80000000000001</v>
      </c>
      <c r="I232" s="147">
        <v>11.9</v>
      </c>
      <c r="J232" s="137">
        <v>0</v>
      </c>
      <c r="K232" s="138">
        <f t="shared" si="9"/>
        <v>11.9</v>
      </c>
      <c r="L232" s="139">
        <f t="shared" si="10"/>
        <v>142.80000000000001</v>
      </c>
      <c r="M232" s="138">
        <f t="shared" si="11"/>
        <v>116.01870000000001</v>
      </c>
    </row>
    <row r="233" spans="1:13" ht="20.100000000000001" customHeight="1" x14ac:dyDescent="0.35">
      <c r="A233" s="40">
        <v>3154</v>
      </c>
      <c r="B233" s="58">
        <v>6</v>
      </c>
      <c r="C233" s="58" t="s">
        <v>64</v>
      </c>
      <c r="D233" s="58" t="s">
        <v>2</v>
      </c>
      <c r="E233" s="64" t="s">
        <v>42</v>
      </c>
      <c r="F233" s="66" t="s">
        <v>421</v>
      </c>
      <c r="G233" s="145">
        <v>13.390649999999999</v>
      </c>
      <c r="H233" s="146">
        <v>86.4</v>
      </c>
      <c r="I233" s="147">
        <v>14.6</v>
      </c>
      <c r="J233" s="137">
        <v>0</v>
      </c>
      <c r="K233" s="138">
        <f t="shared" si="9"/>
        <v>14.6</v>
      </c>
      <c r="L233" s="139">
        <f t="shared" si="10"/>
        <v>87.6</v>
      </c>
      <c r="M233" s="138">
        <f t="shared" si="11"/>
        <v>74.209350000000001</v>
      </c>
    </row>
    <row r="234" spans="1:13" ht="20.100000000000001" customHeight="1" x14ac:dyDescent="0.35">
      <c r="A234" s="40" t="s">
        <v>422</v>
      </c>
      <c r="B234" s="58">
        <v>6</v>
      </c>
      <c r="C234" s="58" t="s">
        <v>64</v>
      </c>
      <c r="D234" s="58" t="s">
        <v>2</v>
      </c>
      <c r="E234" s="64" t="s">
        <v>42</v>
      </c>
      <c r="F234" s="66" t="s">
        <v>423</v>
      </c>
      <c r="G234" s="145">
        <v>13.390649999999999</v>
      </c>
      <c r="H234" s="146">
        <v>89.460000000000008</v>
      </c>
      <c r="I234" s="147">
        <v>15.1</v>
      </c>
      <c r="J234" s="137">
        <v>0</v>
      </c>
      <c r="K234" s="138">
        <f t="shared" si="9"/>
        <v>15.1</v>
      </c>
      <c r="L234" s="139">
        <f t="shared" si="10"/>
        <v>90.6</v>
      </c>
      <c r="M234" s="138">
        <f t="shared" si="11"/>
        <v>77.209350000000001</v>
      </c>
    </row>
    <row r="235" spans="1:13" ht="20.100000000000001" customHeight="1" x14ac:dyDescent="0.35">
      <c r="A235" s="40" t="s">
        <v>59</v>
      </c>
      <c r="B235" s="58">
        <v>12</v>
      </c>
      <c r="C235" s="58" t="s">
        <v>65</v>
      </c>
      <c r="D235" s="58" t="s">
        <v>6</v>
      </c>
      <c r="E235" s="64" t="s">
        <v>43</v>
      </c>
      <c r="F235" s="66" t="s">
        <v>56</v>
      </c>
      <c r="G235" s="145">
        <v>26.781299999999998</v>
      </c>
      <c r="H235" s="146">
        <v>81.599999999999994</v>
      </c>
      <c r="I235" s="147">
        <v>6.8</v>
      </c>
      <c r="J235" s="137">
        <v>0</v>
      </c>
      <c r="K235" s="138">
        <f t="shared" si="9"/>
        <v>6.8</v>
      </c>
      <c r="L235" s="139">
        <f t="shared" si="10"/>
        <v>81.599999999999994</v>
      </c>
      <c r="M235" s="138">
        <f t="shared" si="11"/>
        <v>54.818699999999993</v>
      </c>
    </row>
    <row r="236" spans="1:13" ht="20.100000000000001" customHeight="1" x14ac:dyDescent="0.35">
      <c r="A236" s="40" t="s">
        <v>424</v>
      </c>
      <c r="B236" s="58">
        <v>24</v>
      </c>
      <c r="C236" s="58" t="s">
        <v>64</v>
      </c>
      <c r="D236" s="58" t="s">
        <v>2</v>
      </c>
      <c r="E236" s="64" t="s">
        <v>42</v>
      </c>
      <c r="F236" s="66" t="s">
        <v>425</v>
      </c>
      <c r="G236" s="145">
        <v>26.781299999999998</v>
      </c>
      <c r="H236" s="146">
        <v>116.64000000000001</v>
      </c>
      <c r="I236" s="147">
        <v>4.9000000000000004</v>
      </c>
      <c r="J236" s="137">
        <v>0</v>
      </c>
      <c r="K236" s="138">
        <f t="shared" si="9"/>
        <v>4.9000000000000004</v>
      </c>
      <c r="L236" s="139">
        <f t="shared" si="10"/>
        <v>117.60000000000001</v>
      </c>
      <c r="M236" s="138">
        <f t="shared" si="11"/>
        <v>90.818700000000007</v>
      </c>
    </row>
    <row r="237" spans="1:13" ht="20.100000000000001" customHeight="1" x14ac:dyDescent="0.35">
      <c r="A237" s="40">
        <v>1762</v>
      </c>
      <c r="B237" s="58">
        <v>6</v>
      </c>
      <c r="C237" s="58" t="s">
        <v>64</v>
      </c>
      <c r="D237" s="58" t="s">
        <v>5</v>
      </c>
      <c r="E237" s="64" t="s">
        <v>426</v>
      </c>
      <c r="F237" s="66" t="s">
        <v>427</v>
      </c>
      <c r="G237" s="145">
        <v>13.390649999999999</v>
      </c>
      <c r="H237" s="146">
        <v>82.800000000000011</v>
      </c>
      <c r="I237" s="147">
        <v>13.8</v>
      </c>
      <c r="J237" s="137">
        <v>0</v>
      </c>
      <c r="K237" s="138">
        <f t="shared" si="9"/>
        <v>13.8</v>
      </c>
      <c r="L237" s="139">
        <f t="shared" si="10"/>
        <v>82.800000000000011</v>
      </c>
      <c r="M237" s="138">
        <f t="shared" si="11"/>
        <v>69.409350000000018</v>
      </c>
    </row>
    <row r="238" spans="1:13" ht="20.100000000000001" customHeight="1" x14ac:dyDescent="0.35">
      <c r="A238" s="40">
        <v>1763</v>
      </c>
      <c r="B238" s="58">
        <v>6</v>
      </c>
      <c r="C238" s="58" t="s">
        <v>64</v>
      </c>
      <c r="D238" s="58" t="s">
        <v>5</v>
      </c>
      <c r="E238" s="64" t="s">
        <v>426</v>
      </c>
      <c r="F238" s="66" t="s">
        <v>428</v>
      </c>
      <c r="G238" s="145">
        <v>13.390649999999999</v>
      </c>
      <c r="H238" s="146">
        <v>82.800000000000011</v>
      </c>
      <c r="I238" s="147">
        <v>13.8</v>
      </c>
      <c r="J238" s="137">
        <v>0</v>
      </c>
      <c r="K238" s="138">
        <f t="shared" si="9"/>
        <v>13.8</v>
      </c>
      <c r="L238" s="139">
        <f t="shared" si="10"/>
        <v>82.800000000000011</v>
      </c>
      <c r="M238" s="138">
        <f t="shared" si="11"/>
        <v>69.409350000000018</v>
      </c>
    </row>
    <row r="239" spans="1:13" ht="20.100000000000001" customHeight="1" x14ac:dyDescent="0.35">
      <c r="A239" s="40">
        <v>3247</v>
      </c>
      <c r="B239" s="58">
        <v>6</v>
      </c>
      <c r="C239" s="58" t="s">
        <v>64</v>
      </c>
      <c r="D239" s="58" t="s">
        <v>0</v>
      </c>
      <c r="E239" s="64" t="s">
        <v>193</v>
      </c>
      <c r="F239" s="66" t="s">
        <v>429</v>
      </c>
      <c r="G239" s="145">
        <v>13.390649999999999</v>
      </c>
      <c r="H239" s="146">
        <v>239.39999999999998</v>
      </c>
      <c r="I239" s="147">
        <v>39.9</v>
      </c>
      <c r="J239" s="137">
        <v>0</v>
      </c>
      <c r="K239" s="138">
        <f t="shared" si="9"/>
        <v>39.9</v>
      </c>
      <c r="L239" s="139">
        <f t="shared" si="10"/>
        <v>239.39999999999998</v>
      </c>
      <c r="M239" s="138">
        <f t="shared" si="11"/>
        <v>226.00934999999998</v>
      </c>
    </row>
    <row r="240" spans="1:13" ht="20.100000000000001" customHeight="1" x14ac:dyDescent="0.35">
      <c r="A240" s="40">
        <v>1718</v>
      </c>
      <c r="B240" s="58">
        <v>6</v>
      </c>
      <c r="C240" s="58" t="s">
        <v>65</v>
      </c>
      <c r="D240" s="58" t="s">
        <v>5</v>
      </c>
      <c r="E240" s="64" t="s">
        <v>47</v>
      </c>
      <c r="F240" s="66" t="s">
        <v>45</v>
      </c>
      <c r="G240" s="145">
        <v>13.390649999999999</v>
      </c>
      <c r="H240" s="146">
        <v>65.400000000000006</v>
      </c>
      <c r="I240" s="147">
        <v>10.9</v>
      </c>
      <c r="J240" s="137">
        <v>0</v>
      </c>
      <c r="K240" s="138">
        <f t="shared" si="9"/>
        <v>10.9</v>
      </c>
      <c r="L240" s="139">
        <f t="shared" si="10"/>
        <v>65.400000000000006</v>
      </c>
      <c r="M240" s="138">
        <f t="shared" si="11"/>
        <v>52.009350000000005</v>
      </c>
    </row>
    <row r="241" spans="1:13" ht="20.100000000000001" customHeight="1" x14ac:dyDescent="0.35">
      <c r="A241" s="40">
        <v>2727</v>
      </c>
      <c r="B241" s="58">
        <v>12</v>
      </c>
      <c r="C241" s="58" t="s">
        <v>64</v>
      </c>
      <c r="D241" s="58" t="s">
        <v>1</v>
      </c>
      <c r="E241" s="64" t="s">
        <v>154</v>
      </c>
      <c r="F241" s="66" t="s">
        <v>430</v>
      </c>
      <c r="G241" s="145">
        <v>26.781299999999998</v>
      </c>
      <c r="H241" s="146">
        <v>190.8</v>
      </c>
      <c r="I241" s="147">
        <v>15.9</v>
      </c>
      <c r="J241" s="137">
        <v>0</v>
      </c>
      <c r="K241" s="138">
        <f t="shared" si="9"/>
        <v>15.9</v>
      </c>
      <c r="L241" s="139">
        <f t="shared" si="10"/>
        <v>190.8</v>
      </c>
      <c r="M241" s="138">
        <f t="shared" si="11"/>
        <v>164.01870000000002</v>
      </c>
    </row>
    <row r="242" spans="1:13" ht="20.100000000000001" customHeight="1" x14ac:dyDescent="0.35">
      <c r="A242" s="40" t="s">
        <v>431</v>
      </c>
      <c r="B242" s="58">
        <v>6</v>
      </c>
      <c r="C242" s="58" t="s">
        <v>64</v>
      </c>
      <c r="D242" s="58" t="s">
        <v>2</v>
      </c>
      <c r="E242" s="64" t="s">
        <v>42</v>
      </c>
      <c r="F242" s="66" t="s">
        <v>432</v>
      </c>
      <c r="G242" s="145">
        <v>26.781299999999998</v>
      </c>
      <c r="H242" s="146">
        <v>186.42000000000002</v>
      </c>
      <c r="I242" s="147">
        <v>31.1</v>
      </c>
      <c r="J242" s="137">
        <v>0</v>
      </c>
      <c r="K242" s="138">
        <f t="shared" si="9"/>
        <v>31.1</v>
      </c>
      <c r="L242" s="139">
        <f t="shared" si="10"/>
        <v>186.60000000000002</v>
      </c>
      <c r="M242" s="138">
        <f t="shared" si="11"/>
        <v>159.81870000000004</v>
      </c>
    </row>
    <row r="243" spans="1:13" ht="20.100000000000001" customHeight="1" x14ac:dyDescent="0.35">
      <c r="A243" s="40">
        <v>3053</v>
      </c>
      <c r="B243" s="58">
        <v>12</v>
      </c>
      <c r="C243" s="58" t="s">
        <v>64</v>
      </c>
      <c r="D243" s="58" t="s">
        <v>3</v>
      </c>
      <c r="E243" s="64" t="s">
        <v>252</v>
      </c>
      <c r="F243" s="66" t="s">
        <v>433</v>
      </c>
      <c r="G243" s="145">
        <v>26.781299999999998</v>
      </c>
      <c r="H243" s="146">
        <v>100.80000000000001</v>
      </c>
      <c r="I243" s="147">
        <v>8.4</v>
      </c>
      <c r="J243" s="137">
        <v>0</v>
      </c>
      <c r="K243" s="138">
        <f t="shared" si="9"/>
        <v>8.4</v>
      </c>
      <c r="L243" s="139">
        <f t="shared" si="10"/>
        <v>100.80000000000001</v>
      </c>
      <c r="M243" s="138">
        <f t="shared" si="11"/>
        <v>74.01870000000001</v>
      </c>
    </row>
    <row r="244" spans="1:13" ht="20.100000000000001" customHeight="1" x14ac:dyDescent="0.35">
      <c r="A244" s="40">
        <v>3052</v>
      </c>
      <c r="B244" s="58">
        <v>12</v>
      </c>
      <c r="C244" s="58" t="s">
        <v>65</v>
      </c>
      <c r="D244" s="58" t="s">
        <v>3</v>
      </c>
      <c r="E244" s="64" t="s">
        <v>252</v>
      </c>
      <c r="F244" s="66" t="s">
        <v>434</v>
      </c>
      <c r="G244" s="145">
        <v>26.781299999999998</v>
      </c>
      <c r="H244" s="146">
        <v>100.80000000000001</v>
      </c>
      <c r="I244" s="147">
        <v>8.4</v>
      </c>
      <c r="J244" s="137">
        <v>0</v>
      </c>
      <c r="K244" s="138">
        <f t="shared" si="9"/>
        <v>8.4</v>
      </c>
      <c r="L244" s="139">
        <f t="shared" si="10"/>
        <v>100.80000000000001</v>
      </c>
      <c r="M244" s="138">
        <f t="shared" si="11"/>
        <v>74.01870000000001</v>
      </c>
    </row>
    <row r="245" spans="1:13" ht="20.100000000000001" customHeight="1" x14ac:dyDescent="0.35">
      <c r="A245" s="40">
        <v>3054</v>
      </c>
      <c r="B245" s="58">
        <v>12</v>
      </c>
      <c r="C245" s="58" t="s">
        <v>64</v>
      </c>
      <c r="D245" s="58" t="s">
        <v>3</v>
      </c>
      <c r="E245" s="64" t="s">
        <v>252</v>
      </c>
      <c r="F245" s="66" t="s">
        <v>435</v>
      </c>
      <c r="G245" s="145">
        <v>26.781299999999998</v>
      </c>
      <c r="H245" s="146">
        <v>100.80000000000001</v>
      </c>
      <c r="I245" s="147">
        <v>8.4</v>
      </c>
      <c r="J245" s="137">
        <v>0</v>
      </c>
      <c r="K245" s="138">
        <f t="shared" si="9"/>
        <v>8.4</v>
      </c>
      <c r="L245" s="139">
        <f t="shared" si="10"/>
        <v>100.80000000000001</v>
      </c>
      <c r="M245" s="138">
        <f t="shared" si="11"/>
        <v>74.01870000000001</v>
      </c>
    </row>
    <row r="246" spans="1:13" ht="20.100000000000001" customHeight="1" x14ac:dyDescent="0.35">
      <c r="A246" s="40">
        <v>3055</v>
      </c>
      <c r="B246" s="58">
        <v>12</v>
      </c>
      <c r="C246" s="58" t="s">
        <v>64</v>
      </c>
      <c r="D246" s="58" t="s">
        <v>3</v>
      </c>
      <c r="E246" s="64" t="s">
        <v>252</v>
      </c>
      <c r="F246" s="66" t="s">
        <v>436</v>
      </c>
      <c r="G246" s="145">
        <v>26.781299999999998</v>
      </c>
      <c r="H246" s="146">
        <v>100.80000000000001</v>
      </c>
      <c r="I246" s="147">
        <v>8.4</v>
      </c>
      <c r="J246" s="137">
        <v>0</v>
      </c>
      <c r="K246" s="138">
        <f t="shared" si="9"/>
        <v>8.4</v>
      </c>
      <c r="L246" s="139">
        <f t="shared" si="10"/>
        <v>100.80000000000001</v>
      </c>
      <c r="M246" s="138">
        <f t="shared" si="11"/>
        <v>74.01870000000001</v>
      </c>
    </row>
    <row r="247" spans="1:13" ht="20.100000000000001" customHeight="1" x14ac:dyDescent="0.35">
      <c r="A247" s="40" t="s">
        <v>437</v>
      </c>
      <c r="B247" s="58">
        <v>6</v>
      </c>
      <c r="C247" s="58" t="s">
        <v>65</v>
      </c>
      <c r="D247" s="58" t="s">
        <v>4</v>
      </c>
      <c r="E247" s="64" t="s">
        <v>23</v>
      </c>
      <c r="F247" s="66" t="s">
        <v>438</v>
      </c>
      <c r="G247" s="145">
        <v>13.390649999999999</v>
      </c>
      <c r="H247" s="146">
        <v>89.4</v>
      </c>
      <c r="I247" s="147">
        <v>14.9</v>
      </c>
      <c r="J247" s="137">
        <v>0</v>
      </c>
      <c r="K247" s="138">
        <f t="shared" si="9"/>
        <v>14.9</v>
      </c>
      <c r="L247" s="139">
        <f t="shared" si="10"/>
        <v>89.4</v>
      </c>
      <c r="M247" s="138">
        <f t="shared" si="11"/>
        <v>76.009350000000012</v>
      </c>
    </row>
    <row r="248" spans="1:13" ht="20.100000000000001" customHeight="1" x14ac:dyDescent="0.35">
      <c r="A248" s="40">
        <v>2530</v>
      </c>
      <c r="B248" s="58">
        <v>6</v>
      </c>
      <c r="C248" s="58" t="s">
        <v>65</v>
      </c>
      <c r="D248" s="58" t="s">
        <v>1</v>
      </c>
      <c r="E248" s="64" t="s">
        <v>174</v>
      </c>
      <c r="F248" s="66" t="s">
        <v>439</v>
      </c>
      <c r="G248" s="145">
        <v>13.390649999999999</v>
      </c>
      <c r="H248" s="146">
        <v>70.800000000000011</v>
      </c>
      <c r="I248" s="147">
        <v>11.8</v>
      </c>
      <c r="J248" s="137">
        <v>0</v>
      </c>
      <c r="K248" s="138">
        <f t="shared" si="9"/>
        <v>11.8</v>
      </c>
      <c r="L248" s="139">
        <f t="shared" si="10"/>
        <v>70.800000000000011</v>
      </c>
      <c r="M248" s="138">
        <f t="shared" si="11"/>
        <v>57.409350000000011</v>
      </c>
    </row>
    <row r="249" spans="1:13" ht="20.100000000000001" customHeight="1" x14ac:dyDescent="0.35">
      <c r="A249" s="40" t="s">
        <v>440</v>
      </c>
      <c r="B249" s="58">
        <v>6</v>
      </c>
      <c r="C249" s="58" t="s">
        <v>64</v>
      </c>
      <c r="D249" s="58" t="s">
        <v>2</v>
      </c>
      <c r="E249" s="64" t="s">
        <v>48</v>
      </c>
      <c r="F249" s="66" t="s">
        <v>441</v>
      </c>
      <c r="G249" s="145">
        <v>0</v>
      </c>
      <c r="H249" s="146">
        <v>0</v>
      </c>
      <c r="I249" s="147">
        <v>0</v>
      </c>
      <c r="J249" s="137">
        <v>0</v>
      </c>
      <c r="K249" s="138">
        <f t="shared" si="9"/>
        <v>0</v>
      </c>
      <c r="L249" s="139">
        <f t="shared" si="10"/>
        <v>0</v>
      </c>
      <c r="M249" s="138">
        <f t="shared" si="11"/>
        <v>0</v>
      </c>
    </row>
    <row r="250" spans="1:13" ht="20.100000000000001" customHeight="1" x14ac:dyDescent="0.35">
      <c r="A250" s="40" t="s">
        <v>442</v>
      </c>
      <c r="B250" s="58">
        <v>12</v>
      </c>
      <c r="C250" s="58" t="s">
        <v>64</v>
      </c>
      <c r="D250" s="58" t="s">
        <v>2</v>
      </c>
      <c r="E250" s="64" t="s">
        <v>42</v>
      </c>
      <c r="F250" s="66" t="s">
        <v>443</v>
      </c>
      <c r="G250" s="145">
        <v>0</v>
      </c>
      <c r="H250" s="146">
        <v>0</v>
      </c>
      <c r="I250" s="147">
        <v>0</v>
      </c>
      <c r="J250" s="137">
        <v>0</v>
      </c>
      <c r="K250" s="138">
        <f t="shared" si="9"/>
        <v>0</v>
      </c>
      <c r="L250" s="139">
        <f t="shared" si="10"/>
        <v>0</v>
      </c>
      <c r="M250" s="138">
        <f t="shared" si="11"/>
        <v>0</v>
      </c>
    </row>
    <row r="251" spans="1:13" ht="20.100000000000001" customHeight="1" x14ac:dyDescent="0.35">
      <c r="A251" s="40" t="s">
        <v>100</v>
      </c>
      <c r="B251" s="58">
        <v>6</v>
      </c>
      <c r="C251" s="58" t="s">
        <v>444</v>
      </c>
      <c r="D251" s="58" t="s">
        <v>2</v>
      </c>
      <c r="E251" s="64" t="s">
        <v>21</v>
      </c>
      <c r="F251" s="66" t="s">
        <v>445</v>
      </c>
      <c r="G251" s="145">
        <v>13.390649999999999</v>
      </c>
      <c r="H251" s="146">
        <v>85.199999999999989</v>
      </c>
      <c r="I251" s="147">
        <v>14.2</v>
      </c>
      <c r="J251" s="137">
        <v>0</v>
      </c>
      <c r="K251" s="138">
        <f t="shared" si="9"/>
        <v>14.2</v>
      </c>
      <c r="L251" s="139">
        <f t="shared" si="10"/>
        <v>85.199999999999989</v>
      </c>
      <c r="M251" s="138">
        <f t="shared" si="11"/>
        <v>71.809349999999995</v>
      </c>
    </row>
    <row r="252" spans="1:13" ht="20.100000000000001" customHeight="1" x14ac:dyDescent="0.35">
      <c r="A252" s="40" t="s">
        <v>100</v>
      </c>
      <c r="B252" s="58">
        <v>6</v>
      </c>
      <c r="C252" s="58" t="s">
        <v>444</v>
      </c>
      <c r="D252" s="58" t="s">
        <v>2</v>
      </c>
      <c r="E252" s="64" t="s">
        <v>21</v>
      </c>
      <c r="F252" s="66" t="s">
        <v>446</v>
      </c>
      <c r="G252" s="145">
        <v>13.390649999999999</v>
      </c>
      <c r="H252" s="146">
        <v>85.199999999999989</v>
      </c>
      <c r="I252" s="147">
        <v>14.2</v>
      </c>
      <c r="J252" s="137">
        <v>0</v>
      </c>
      <c r="K252" s="138">
        <f t="shared" si="9"/>
        <v>14.2</v>
      </c>
      <c r="L252" s="139">
        <f t="shared" si="10"/>
        <v>85.199999999999989</v>
      </c>
      <c r="M252" s="138">
        <f t="shared" si="11"/>
        <v>71.809349999999995</v>
      </c>
    </row>
  </sheetData>
  <sheetProtection selectLockedCells="1" selectUnlockedCells="1"/>
  <autoFilter ref="A3:M252" xr:uid="{00000000-0009-0000-0000-000000000000}">
    <sortState xmlns:xlrd2="http://schemas.microsoft.com/office/spreadsheetml/2017/richdata2" ref="A4:M252">
      <sortCondition ref="A3:A252"/>
    </sortState>
  </autoFilter>
  <mergeCells count="13">
    <mergeCell ref="G1:G2"/>
    <mergeCell ref="A1:A2"/>
    <mergeCell ref="B1:B2"/>
    <mergeCell ref="F1:F2"/>
    <mergeCell ref="C1:C2"/>
    <mergeCell ref="D1:D2"/>
    <mergeCell ref="E1:E2"/>
    <mergeCell ref="L1:L2"/>
    <mergeCell ref="M1:M2"/>
    <mergeCell ref="K1:K2"/>
    <mergeCell ref="H1:H2"/>
    <mergeCell ref="I1:I2"/>
    <mergeCell ref="J1:J2"/>
  </mergeCells>
  <phoneticPr fontId="17" type="noConversion"/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7" min="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4"/>
  <sheetViews>
    <sheetView showGridLines="0" topLeftCell="B1" zoomScale="80" zoomScaleNormal="80" workbookViewId="0">
      <selection activeCell="AA34" sqref="C25:AA34"/>
    </sheetView>
  </sheetViews>
  <sheetFormatPr defaultColWidth="8.41015625" defaultRowHeight="12.35" x14ac:dyDescent="0.35"/>
  <cols>
    <col min="1" max="1" width="8.87890625" style="55" customWidth="1"/>
    <col min="2" max="2" width="5.703125" style="56" customWidth="1"/>
    <col min="3" max="3" width="9.87890625" style="44" bestFit="1" customWidth="1"/>
    <col min="4" max="4" width="6.29296875" style="57" customWidth="1"/>
    <col min="5" max="5" width="5.29296875" style="57" customWidth="1"/>
    <col min="6" max="6" width="8.87890625" style="57" customWidth="1"/>
    <col min="7" max="7" width="10.703125" style="57" customWidth="1"/>
    <col min="8" max="8" width="12.1171875" style="63" bestFit="1" customWidth="1"/>
    <col min="9" max="9" width="17.1171875" style="63" customWidth="1"/>
    <col min="10" max="10" width="20.1171875" style="63" customWidth="1"/>
    <col min="11" max="11" width="47.41015625" style="69" bestFit="1" customWidth="1"/>
    <col min="12" max="12" width="3.29296875" style="28" customWidth="1"/>
    <col min="13" max="13" width="8" style="39" customWidth="1"/>
    <col min="14" max="14" width="5.41015625" style="85" customWidth="1"/>
    <col min="15" max="15" width="5.703125" style="22" customWidth="1"/>
    <col min="16" max="16" width="5.703125" style="6" customWidth="1"/>
    <col min="17" max="17" width="5" style="6" customWidth="1"/>
    <col min="18" max="18" width="5.703125" style="6" customWidth="1"/>
    <col min="19" max="20" width="7.29296875" style="6" customWidth="1"/>
    <col min="21" max="21" width="7.29296875" style="23" customWidth="1"/>
    <col min="22" max="22" width="10.703125" style="6" customWidth="1"/>
    <col min="23" max="23" width="7.29296875" style="6" customWidth="1"/>
    <col min="24" max="24" width="8" style="24" customWidth="1"/>
    <col min="25" max="25" width="8.703125" style="25" customWidth="1"/>
    <col min="26" max="26" width="8.703125" style="24" customWidth="1"/>
    <col min="27" max="27" width="13.87890625" style="5" customWidth="1"/>
    <col min="28" max="28" width="12.703125" style="5" bestFit="1" customWidth="1"/>
    <col min="29" max="29" width="15.29296875" style="91" customWidth="1"/>
    <col min="30" max="30" width="15.41015625" style="92" customWidth="1"/>
    <col min="31" max="31" width="6.1171875" style="5" customWidth="1"/>
    <col min="32" max="32" width="14.41015625" style="5" customWidth="1"/>
    <col min="33" max="33" width="12.41015625" style="5" customWidth="1"/>
    <col min="34" max="34" width="6.1171875" style="5" customWidth="1"/>
    <col min="35" max="35" width="10.29296875" style="25" bestFit="1" customWidth="1"/>
    <col min="36" max="36" width="9.41015625" style="24" customWidth="1"/>
    <col min="37" max="16384" width="8.41015625" style="2"/>
  </cols>
  <sheetData>
    <row r="1" spans="1:37" ht="20.100000000000001" customHeight="1" x14ac:dyDescent="0.35">
      <c r="C1" s="2"/>
      <c r="L1" s="2" t="s">
        <v>16</v>
      </c>
      <c r="M1" s="2" t="e">
        <f>EURO</f>
        <v>#REF!</v>
      </c>
    </row>
    <row r="2" spans="1:37" ht="20.100000000000001" customHeight="1" x14ac:dyDescent="0.35">
      <c r="C2" s="2"/>
      <c r="L2" s="2" t="s">
        <v>15</v>
      </c>
      <c r="M2" s="2" t="e">
        <f>DOLLAR</f>
        <v>#REF!</v>
      </c>
    </row>
    <row r="3" spans="1:37" ht="20.100000000000001" customHeight="1" x14ac:dyDescent="0.35">
      <c r="A3" s="2"/>
      <c r="B3" s="2"/>
    </row>
    <row r="4" spans="1:37" s="4" customFormat="1" ht="20.100000000000001" customHeight="1" x14ac:dyDescent="0.35">
      <c r="A4" s="152" t="s">
        <v>26</v>
      </c>
      <c r="B4" s="7" t="s">
        <v>9</v>
      </c>
      <c r="C4" s="155" t="s">
        <v>10</v>
      </c>
      <c r="D4" s="152" t="s">
        <v>25</v>
      </c>
      <c r="E4" s="152" t="s">
        <v>33</v>
      </c>
      <c r="F4" s="152" t="s">
        <v>63</v>
      </c>
      <c r="G4" s="152" t="s">
        <v>51</v>
      </c>
      <c r="H4" s="155" t="s">
        <v>11</v>
      </c>
      <c r="I4" s="155" t="s">
        <v>12</v>
      </c>
      <c r="J4" s="155" t="s">
        <v>13</v>
      </c>
      <c r="K4" s="163" t="s">
        <v>14</v>
      </c>
      <c r="L4" s="165" t="s">
        <v>68</v>
      </c>
      <c r="M4" s="166"/>
      <c r="N4" s="169" t="s">
        <v>24</v>
      </c>
      <c r="O4" s="171" t="s">
        <v>8</v>
      </c>
      <c r="P4" s="171"/>
      <c r="Q4" s="171"/>
      <c r="R4" s="171"/>
      <c r="S4" s="172" t="s">
        <v>27</v>
      </c>
      <c r="T4" s="172" t="s">
        <v>28</v>
      </c>
      <c r="U4" s="160" t="s">
        <v>29</v>
      </c>
      <c r="V4" s="160" t="s">
        <v>72</v>
      </c>
      <c r="W4" s="160" t="s">
        <v>73</v>
      </c>
      <c r="X4" s="152" t="s">
        <v>30</v>
      </c>
      <c r="Y4" s="152" t="s">
        <v>31</v>
      </c>
      <c r="Z4" s="152" t="s">
        <v>74</v>
      </c>
      <c r="AC4" s="93"/>
      <c r="AD4" s="94"/>
      <c r="AF4" s="4" t="s">
        <v>78</v>
      </c>
      <c r="AG4" s="4" t="s">
        <v>79</v>
      </c>
      <c r="AI4" s="159" t="s">
        <v>80</v>
      </c>
      <c r="AJ4" s="159" t="s">
        <v>74</v>
      </c>
    </row>
    <row r="5" spans="1:37" s="4" customFormat="1" ht="20.100000000000001" customHeight="1" x14ac:dyDescent="0.35">
      <c r="A5" s="153"/>
      <c r="B5" s="7" t="s">
        <v>32</v>
      </c>
      <c r="C5" s="162"/>
      <c r="D5" s="153"/>
      <c r="E5" s="153"/>
      <c r="F5" s="153"/>
      <c r="G5" s="153"/>
      <c r="H5" s="162"/>
      <c r="I5" s="162"/>
      <c r="J5" s="162"/>
      <c r="K5" s="164"/>
      <c r="L5" s="167"/>
      <c r="M5" s="168"/>
      <c r="N5" s="170"/>
      <c r="O5" s="9" t="s">
        <v>71</v>
      </c>
      <c r="P5" s="10" t="s">
        <v>17</v>
      </c>
      <c r="Q5" s="10" t="s">
        <v>37</v>
      </c>
      <c r="R5" s="10" t="s">
        <v>54</v>
      </c>
      <c r="S5" s="173"/>
      <c r="T5" s="173"/>
      <c r="U5" s="161"/>
      <c r="V5" s="161"/>
      <c r="W5" s="161"/>
      <c r="X5" s="153"/>
      <c r="Y5" s="153"/>
      <c r="Z5" s="153"/>
      <c r="AA5" s="95" t="s">
        <v>87</v>
      </c>
      <c r="AB5" s="95" t="s">
        <v>86</v>
      </c>
      <c r="AC5" s="96" t="s">
        <v>81</v>
      </c>
      <c r="AD5" s="97" t="s">
        <v>88</v>
      </c>
      <c r="AF5" s="98">
        <v>12</v>
      </c>
      <c r="AG5" s="98">
        <v>4</v>
      </c>
      <c r="AI5" s="159"/>
      <c r="AJ5" s="159"/>
    </row>
    <row r="6" spans="1:37" s="5" customFormat="1" ht="20.100000000000001" customHeight="1" x14ac:dyDescent="0.35">
      <c r="A6" s="70"/>
      <c r="B6" s="71"/>
      <c r="C6" s="72"/>
      <c r="D6" s="73"/>
      <c r="E6" s="74"/>
      <c r="F6" s="75"/>
      <c r="G6" s="76"/>
      <c r="H6" s="77"/>
      <c r="I6" s="77"/>
      <c r="J6" s="77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99"/>
      <c r="AJ6" s="99"/>
    </row>
    <row r="7" spans="1:37" s="8" customFormat="1" ht="20.100000000000001" customHeight="1" x14ac:dyDescent="0.35">
      <c r="A7" s="45"/>
      <c r="B7" s="107" t="s">
        <v>9</v>
      </c>
      <c r="C7" s="40">
        <v>3544</v>
      </c>
      <c r="D7" s="48">
        <v>6</v>
      </c>
      <c r="E7" s="49">
        <v>4.5</v>
      </c>
      <c r="F7" s="50" t="s">
        <v>64</v>
      </c>
      <c r="G7" s="58" t="s">
        <v>53</v>
      </c>
      <c r="H7" s="61" t="s">
        <v>2</v>
      </c>
      <c r="I7" s="64" t="s">
        <v>48</v>
      </c>
      <c r="J7" s="64" t="s">
        <v>75</v>
      </c>
      <c r="K7" s="66" t="s">
        <v>57</v>
      </c>
      <c r="L7" s="26" t="s">
        <v>16</v>
      </c>
      <c r="M7" s="90">
        <v>3.5</v>
      </c>
      <c r="N7" s="83">
        <v>1</v>
      </c>
      <c r="O7" s="29"/>
      <c r="P7" s="13" t="e">
        <f t="shared" ref="P7:P19" si="0">SUM(RHD/100)*E7</f>
        <v>#REF!</v>
      </c>
      <c r="Q7" s="13" t="e">
        <f t="shared" ref="Q7:Q19" si="1">SUM(COM/100)*E7</f>
        <v>#REF!</v>
      </c>
      <c r="R7" s="13" t="e">
        <f t="shared" ref="R7:R15" si="2">SUM(MKT/100)*E7</f>
        <v>#REF!</v>
      </c>
      <c r="S7" s="30" t="e">
        <f>SUM(D7*M7)/EURO+N7+O7+P7+Q7+R7</f>
        <v>#REF!</v>
      </c>
      <c r="T7" s="14" t="e">
        <f t="shared" ref="T7:T19" si="3">SUM(S7/D7)</f>
        <v>#REF!</v>
      </c>
      <c r="U7" s="36" t="e">
        <f>SUM(WINEDUTY*E7)</f>
        <v>#REF!</v>
      </c>
      <c r="V7" s="32" t="e">
        <f t="shared" ref="V7:V19" si="4">SUM(S7+U7)</f>
        <v>#REF!</v>
      </c>
      <c r="W7" s="15" t="e">
        <f t="shared" ref="W7:W19" si="5">SUM(V7/D7)</f>
        <v>#REF!</v>
      </c>
      <c r="X7" s="101">
        <f t="shared" ref="X7:X12" si="6">SUM(Y7*D7)</f>
        <v>38.799999999999997</v>
      </c>
      <c r="Y7" s="35">
        <f>38.8/6</f>
        <v>6.4666666666666659</v>
      </c>
      <c r="Z7" s="16" t="e">
        <f t="shared" ref="Z7:Z12" si="7">SUM(Y7-W7)/Y7</f>
        <v>#REF!</v>
      </c>
      <c r="AA7" s="102">
        <v>250</v>
      </c>
      <c r="AB7" s="102">
        <f>SUM(AA7*D7)/100</f>
        <v>15</v>
      </c>
      <c r="AC7" s="103">
        <f>SUM(AA7*X7)</f>
        <v>9700</v>
      </c>
      <c r="AD7" s="104" t="e">
        <f>SUM(AC7-(V7*AA7))</f>
        <v>#REF!</v>
      </c>
      <c r="AE7" s="115"/>
      <c r="AF7" s="105" t="e">
        <f t="shared" ref="AF7:AF19" si="8">SUM(AA7/52*$AF$5)*S7</f>
        <v>#REF!</v>
      </c>
      <c r="AG7" s="105" t="e">
        <f t="shared" ref="AG7:AG19" si="9">SUM(AA7/52*$AG$5)*U7</f>
        <v>#REF!</v>
      </c>
      <c r="AH7" s="115"/>
      <c r="AI7" s="106">
        <f t="shared" ref="AI7:AI19" si="10">SUM(Y7/(1-AJ7))*1.2</f>
        <v>31.039999999999996</v>
      </c>
      <c r="AJ7" s="20">
        <v>0.75</v>
      </c>
    </row>
    <row r="8" spans="1:37" s="8" customFormat="1" ht="20.100000000000001" customHeight="1" x14ac:dyDescent="0.35">
      <c r="A8" s="45"/>
      <c r="B8" s="107" t="s">
        <v>9</v>
      </c>
      <c r="C8" s="40">
        <v>1718</v>
      </c>
      <c r="D8" s="46">
        <v>6</v>
      </c>
      <c r="E8" s="47">
        <v>4.5</v>
      </c>
      <c r="F8" s="53" t="s">
        <v>65</v>
      </c>
      <c r="G8" s="58" t="s">
        <v>53</v>
      </c>
      <c r="H8" s="60" t="s">
        <v>5</v>
      </c>
      <c r="I8" s="60" t="s">
        <v>47</v>
      </c>
      <c r="J8" s="64" t="s">
        <v>46</v>
      </c>
      <c r="K8" s="66" t="s">
        <v>45</v>
      </c>
      <c r="L8" s="26" t="s">
        <v>15</v>
      </c>
      <c r="M8" s="89">
        <v>7.42</v>
      </c>
      <c r="N8" s="83">
        <v>2</v>
      </c>
      <c r="O8" s="29" t="e">
        <f>SUMIF(H8,"argentina",CCT)/100*E8 + SUMIF(H8,"australia",CCT)/100*E8 + SUMIF(H8,"chile",FTA)/100*E8 + SUMIF(H8,"france",EU)/100*E8 + SUMIF(H8,"germany",EU)/100*E8 + SUMIF(H8,"hungary",EU)/100*E8 + SUMIF(H8,"italy",EU)/100*E8 + SUMIF(H8,"new zealand",EU)/100*E8 + SUMIF(H8,"portugal",EU)/100*E8 + SUMIF(H8,"spain",EU)/100*E8 + SUMIF(H8,"usa",CCT)/100*E8</f>
        <v>#REF!</v>
      </c>
      <c r="P8" s="13" t="e">
        <f t="shared" si="0"/>
        <v>#REF!</v>
      </c>
      <c r="Q8" s="13" t="e">
        <f t="shared" si="1"/>
        <v>#REF!</v>
      </c>
      <c r="R8" s="13" t="e">
        <f t="shared" si="2"/>
        <v>#REF!</v>
      </c>
      <c r="S8" s="30" t="e">
        <f>SUM(D8*M8)/OZDOLLAR+N8+O8+P8+Q8+R8</f>
        <v>#REF!</v>
      </c>
      <c r="T8" s="14" t="e">
        <f t="shared" si="3"/>
        <v>#REF!</v>
      </c>
      <c r="U8" s="36" t="e">
        <f>SUM(WINEDUTY*E8)</f>
        <v>#REF!</v>
      </c>
      <c r="V8" s="32" t="e">
        <f t="shared" si="4"/>
        <v>#REF!</v>
      </c>
      <c r="W8" s="15" t="e">
        <f t="shared" si="5"/>
        <v>#REF!</v>
      </c>
      <c r="X8" s="101">
        <f t="shared" si="6"/>
        <v>49.39</v>
      </c>
      <c r="Y8" s="35">
        <f>49.39/6</f>
        <v>8.2316666666666674</v>
      </c>
      <c r="Z8" s="16" t="e">
        <f t="shared" si="7"/>
        <v>#REF!</v>
      </c>
      <c r="AA8" s="110">
        <v>0</v>
      </c>
      <c r="AB8" s="102">
        <f t="shared" ref="AB8:AB19" si="11">SUM(AA8*D8)/100</f>
        <v>0</v>
      </c>
      <c r="AC8" s="103">
        <f>SUM(AA8*X8)</f>
        <v>0</v>
      </c>
      <c r="AD8" s="104" t="e">
        <f>SUM(AC8-(V8*AA8))</f>
        <v>#REF!</v>
      </c>
      <c r="AE8" s="115"/>
      <c r="AF8" s="105" t="e">
        <f t="shared" si="8"/>
        <v>#REF!</v>
      </c>
      <c r="AG8" s="105" t="e">
        <f t="shared" si="9"/>
        <v>#REF!</v>
      </c>
      <c r="AH8" s="115"/>
      <c r="AI8" s="106">
        <f t="shared" si="10"/>
        <v>39.512</v>
      </c>
      <c r="AJ8" s="20">
        <v>0.75</v>
      </c>
    </row>
    <row r="9" spans="1:37" ht="20.100000000000001" customHeight="1" x14ac:dyDescent="0.35">
      <c r="A9" s="45"/>
      <c r="B9" s="100" t="s">
        <v>9</v>
      </c>
      <c r="C9" s="40"/>
      <c r="D9" s="46">
        <v>12</v>
      </c>
      <c r="E9" s="47">
        <v>9</v>
      </c>
      <c r="F9" s="53" t="s">
        <v>64</v>
      </c>
      <c r="G9" s="58" t="s">
        <v>53</v>
      </c>
      <c r="H9" s="60" t="s">
        <v>3</v>
      </c>
      <c r="I9" s="60" t="s">
        <v>39</v>
      </c>
      <c r="J9" s="64" t="s">
        <v>35</v>
      </c>
      <c r="K9" s="66" t="s">
        <v>36</v>
      </c>
      <c r="L9" s="87" t="s">
        <v>15</v>
      </c>
      <c r="M9" s="111">
        <v>3.29</v>
      </c>
      <c r="N9" s="83">
        <v>5.5</v>
      </c>
      <c r="O9" s="29">
        <v>1.3</v>
      </c>
      <c r="P9" s="13" t="e">
        <f t="shared" si="0"/>
        <v>#REF!</v>
      </c>
      <c r="Q9" s="13" t="e">
        <f t="shared" si="1"/>
        <v>#REF!</v>
      </c>
      <c r="R9" s="13" t="e">
        <f t="shared" si="2"/>
        <v>#REF!</v>
      </c>
      <c r="S9" s="30" t="e">
        <f>SUM(D9*M9)/DOLLAR+N9+O9+P9+Q9+R9</f>
        <v>#REF!</v>
      </c>
      <c r="T9" s="17" t="e">
        <f t="shared" si="3"/>
        <v>#REF!</v>
      </c>
      <c r="U9" s="36" t="e">
        <f>SUM(WINEDUTY*E9)</f>
        <v>#REF!</v>
      </c>
      <c r="V9" s="32" t="e">
        <f t="shared" si="4"/>
        <v>#REF!</v>
      </c>
      <c r="W9" s="15" t="e">
        <f t="shared" si="5"/>
        <v>#REF!</v>
      </c>
      <c r="X9" s="101">
        <f t="shared" si="6"/>
        <v>69.86</v>
      </c>
      <c r="Y9" s="35">
        <f>69.86/12</f>
        <v>5.8216666666666663</v>
      </c>
      <c r="Z9" s="16" t="e">
        <f t="shared" si="7"/>
        <v>#REF!</v>
      </c>
      <c r="AA9" s="110">
        <v>0</v>
      </c>
      <c r="AB9" s="102">
        <f t="shared" si="11"/>
        <v>0</v>
      </c>
      <c r="AC9" s="103"/>
      <c r="AD9" s="104"/>
      <c r="AE9" s="115"/>
      <c r="AF9" s="105" t="e">
        <f t="shared" si="8"/>
        <v>#REF!</v>
      </c>
      <c r="AG9" s="105" t="e">
        <f t="shared" si="9"/>
        <v>#REF!</v>
      </c>
      <c r="AH9" s="115"/>
      <c r="AI9" s="106">
        <f t="shared" si="10"/>
        <v>27.943999999999999</v>
      </c>
      <c r="AJ9" s="20">
        <v>0.75</v>
      </c>
      <c r="AK9" s="11"/>
    </row>
    <row r="10" spans="1:37" ht="20.100000000000001" customHeight="1" x14ac:dyDescent="0.35">
      <c r="A10" s="45"/>
      <c r="B10" s="108" t="s">
        <v>9</v>
      </c>
      <c r="C10" s="40">
        <v>1890</v>
      </c>
      <c r="D10" s="48">
        <v>6</v>
      </c>
      <c r="E10" s="49">
        <v>4.5</v>
      </c>
      <c r="F10" s="54" t="s">
        <v>67</v>
      </c>
      <c r="G10" s="58" t="s">
        <v>53</v>
      </c>
      <c r="H10" s="61" t="s">
        <v>2</v>
      </c>
      <c r="I10" s="60" t="s">
        <v>21</v>
      </c>
      <c r="J10" s="64" t="s">
        <v>19</v>
      </c>
      <c r="K10" s="66" t="s">
        <v>22</v>
      </c>
      <c r="L10" s="112" t="s">
        <v>16</v>
      </c>
      <c r="M10" s="113">
        <v>3.99</v>
      </c>
      <c r="N10" s="82">
        <v>1.6</v>
      </c>
      <c r="O10" s="29"/>
      <c r="P10" s="13" t="e">
        <f t="shared" si="0"/>
        <v>#REF!</v>
      </c>
      <c r="Q10" s="13" t="e">
        <f t="shared" si="1"/>
        <v>#REF!</v>
      </c>
      <c r="R10" s="13" t="e">
        <f t="shared" si="2"/>
        <v>#REF!</v>
      </c>
      <c r="S10" s="30" t="e">
        <f>SUM(D10*M10)/EURO+N10+O10+P10+Q10+R10</f>
        <v>#REF!</v>
      </c>
      <c r="T10" s="88" t="e">
        <f t="shared" si="3"/>
        <v>#REF!</v>
      </c>
      <c r="U10" s="36" t="e">
        <f>SUM(CHAMPDUTY*E10)</f>
        <v>#REF!</v>
      </c>
      <c r="V10" s="33" t="e">
        <f t="shared" si="4"/>
        <v>#REF!</v>
      </c>
      <c r="W10" s="19" t="e">
        <f t="shared" si="5"/>
        <v>#REF!</v>
      </c>
      <c r="X10" s="109">
        <f t="shared" si="6"/>
        <v>41.4</v>
      </c>
      <c r="Y10" s="81">
        <f>82.8/12</f>
        <v>6.8999999999999995</v>
      </c>
      <c r="Z10" s="16" t="e">
        <f t="shared" si="7"/>
        <v>#REF!</v>
      </c>
      <c r="AA10" s="102">
        <v>0</v>
      </c>
      <c r="AB10" s="102">
        <f t="shared" si="11"/>
        <v>0</v>
      </c>
      <c r="AC10" s="103">
        <f t="shared" ref="AC10:AC19" si="12">SUM(AA10*X10)</f>
        <v>0</v>
      </c>
      <c r="AD10" s="104" t="e">
        <f t="shared" ref="AD10:AD19" si="13">SUM(AC10-(V10*AA10))</f>
        <v>#REF!</v>
      </c>
      <c r="AE10" s="115"/>
      <c r="AF10" s="105" t="e">
        <f t="shared" si="8"/>
        <v>#REF!</v>
      </c>
      <c r="AG10" s="105" t="e">
        <f t="shared" si="9"/>
        <v>#REF!</v>
      </c>
      <c r="AH10" s="115"/>
      <c r="AI10" s="106">
        <f t="shared" si="10"/>
        <v>33.119999999999997</v>
      </c>
      <c r="AJ10" s="20">
        <v>0.75</v>
      </c>
      <c r="AK10" s="11"/>
    </row>
    <row r="11" spans="1:37" ht="20.100000000000001" customHeight="1" x14ac:dyDescent="0.35">
      <c r="A11" s="45"/>
      <c r="B11" s="107" t="s">
        <v>9</v>
      </c>
      <c r="C11" s="42"/>
      <c r="D11" s="48">
        <v>6</v>
      </c>
      <c r="E11" s="49">
        <v>4.5</v>
      </c>
      <c r="F11" s="50" t="s">
        <v>65</v>
      </c>
      <c r="G11" s="58" t="s">
        <v>53</v>
      </c>
      <c r="H11" s="61" t="s">
        <v>0</v>
      </c>
      <c r="I11" s="64" t="s">
        <v>40</v>
      </c>
      <c r="J11" s="64" t="s">
        <v>60</v>
      </c>
      <c r="K11" s="66" t="s">
        <v>58</v>
      </c>
      <c r="L11" s="26" t="s">
        <v>16</v>
      </c>
      <c r="M11" s="89">
        <v>3.55</v>
      </c>
      <c r="N11" s="83">
        <v>1.5</v>
      </c>
      <c r="O11" s="29"/>
      <c r="P11" s="13" t="e">
        <f t="shared" si="0"/>
        <v>#REF!</v>
      </c>
      <c r="Q11" s="13" t="e">
        <f t="shared" si="1"/>
        <v>#REF!</v>
      </c>
      <c r="R11" s="13" t="e">
        <f t="shared" si="2"/>
        <v>#REF!</v>
      </c>
      <c r="S11" s="30" t="e">
        <f>SUM(D11*M11)/EURO+N11+O11+P11+Q11+R11</f>
        <v>#REF!</v>
      </c>
      <c r="T11" s="14" t="e">
        <f t="shared" si="3"/>
        <v>#REF!</v>
      </c>
      <c r="U11" s="37" t="e">
        <f>SUM(WINEDUTY*E11)</f>
        <v>#REF!</v>
      </c>
      <c r="V11" s="34" t="e">
        <f t="shared" si="4"/>
        <v>#REF!</v>
      </c>
      <c r="W11" s="21" t="e">
        <f t="shared" si="5"/>
        <v>#REF!</v>
      </c>
      <c r="X11" s="101">
        <f t="shared" si="6"/>
        <v>36.159999999999997</v>
      </c>
      <c r="Y11" s="35">
        <f>36.16/6</f>
        <v>6.0266666666666664</v>
      </c>
      <c r="Z11" s="16" t="e">
        <f t="shared" si="7"/>
        <v>#REF!</v>
      </c>
      <c r="AA11" s="102">
        <v>3200</v>
      </c>
      <c r="AB11" s="102">
        <f t="shared" si="11"/>
        <v>192</v>
      </c>
      <c r="AC11" s="103">
        <f t="shared" si="12"/>
        <v>115711.99999999999</v>
      </c>
      <c r="AD11" s="104" t="e">
        <f t="shared" si="13"/>
        <v>#REF!</v>
      </c>
      <c r="AE11" s="115"/>
      <c r="AF11" s="105" t="e">
        <f t="shared" si="8"/>
        <v>#REF!</v>
      </c>
      <c r="AG11" s="105" t="e">
        <f t="shared" si="9"/>
        <v>#REF!</v>
      </c>
      <c r="AH11" s="115"/>
      <c r="AI11" s="106">
        <f t="shared" si="10"/>
        <v>28.927999999999997</v>
      </c>
      <c r="AJ11" s="20">
        <v>0.75</v>
      </c>
      <c r="AK11" s="11"/>
    </row>
    <row r="12" spans="1:37" ht="20.100000000000001" customHeight="1" x14ac:dyDescent="0.35">
      <c r="A12" s="45"/>
      <c r="B12" s="107" t="s">
        <v>9</v>
      </c>
      <c r="C12" s="40">
        <v>1221</v>
      </c>
      <c r="D12" s="48">
        <v>6</v>
      </c>
      <c r="E12" s="49">
        <v>4.5</v>
      </c>
      <c r="F12" s="50" t="s">
        <v>64</v>
      </c>
      <c r="G12" s="58" t="s">
        <v>53</v>
      </c>
      <c r="H12" s="61" t="s">
        <v>4</v>
      </c>
      <c r="I12" s="64" t="s">
        <v>23</v>
      </c>
      <c r="J12" s="64" t="s">
        <v>34</v>
      </c>
      <c r="K12" s="67" t="s">
        <v>55</v>
      </c>
      <c r="L12" s="26" t="s">
        <v>16</v>
      </c>
      <c r="M12" s="89">
        <v>1.7</v>
      </c>
      <c r="N12" s="83">
        <v>0.8</v>
      </c>
      <c r="O12" s="29"/>
      <c r="P12" s="13" t="e">
        <f t="shared" si="0"/>
        <v>#REF!</v>
      </c>
      <c r="Q12" s="13" t="e">
        <f t="shared" si="1"/>
        <v>#REF!</v>
      </c>
      <c r="R12" s="13" t="e">
        <f t="shared" si="2"/>
        <v>#REF!</v>
      </c>
      <c r="S12" s="30" t="e">
        <f>SUM(D12*M12)/EURO+N12+O12+P12+Q12+R12</f>
        <v>#REF!</v>
      </c>
      <c r="T12" s="17" t="e">
        <f t="shared" si="3"/>
        <v>#REF!</v>
      </c>
      <c r="U12" s="36" t="e">
        <f>SUM(WINEDUTY*E12)</f>
        <v>#REF!</v>
      </c>
      <c r="V12" s="32" t="e">
        <f t="shared" si="4"/>
        <v>#REF!</v>
      </c>
      <c r="W12" s="15" t="e">
        <f t="shared" si="5"/>
        <v>#REF!</v>
      </c>
      <c r="X12" s="101">
        <f t="shared" si="6"/>
        <v>25.93</v>
      </c>
      <c r="Y12" s="35">
        <f>25.93/6</f>
        <v>4.3216666666666663</v>
      </c>
      <c r="Z12" s="16" t="e">
        <f t="shared" si="7"/>
        <v>#REF!</v>
      </c>
      <c r="AA12" s="102">
        <v>1500</v>
      </c>
      <c r="AB12" s="102">
        <f t="shared" si="11"/>
        <v>90</v>
      </c>
      <c r="AC12" s="103">
        <f t="shared" si="12"/>
        <v>38895</v>
      </c>
      <c r="AD12" s="104" t="e">
        <f t="shared" si="13"/>
        <v>#REF!</v>
      </c>
      <c r="AE12" s="115"/>
      <c r="AF12" s="105" t="e">
        <f t="shared" si="8"/>
        <v>#REF!</v>
      </c>
      <c r="AG12" s="105" t="e">
        <f t="shared" si="9"/>
        <v>#REF!</v>
      </c>
      <c r="AH12" s="115"/>
      <c r="AI12" s="106">
        <f t="shared" si="10"/>
        <v>20.743999999999996</v>
      </c>
      <c r="AJ12" s="20">
        <v>0.75</v>
      </c>
    </row>
    <row r="13" spans="1:37" s="8" customFormat="1" ht="20.100000000000001" customHeight="1" x14ac:dyDescent="0.35">
      <c r="A13" s="45"/>
      <c r="B13" s="107" t="s">
        <v>9</v>
      </c>
      <c r="C13" s="43">
        <v>1802</v>
      </c>
      <c r="D13" s="51">
        <v>12</v>
      </c>
      <c r="E13" s="52">
        <f>12*0.2</f>
        <v>2.4000000000000004</v>
      </c>
      <c r="F13" s="54" t="s">
        <v>67</v>
      </c>
      <c r="G13" s="59" t="s">
        <v>52</v>
      </c>
      <c r="H13" s="62" t="s">
        <v>4</v>
      </c>
      <c r="I13" s="64" t="s">
        <v>23</v>
      </c>
      <c r="J13" s="65" t="s">
        <v>50</v>
      </c>
      <c r="K13" s="68" t="s">
        <v>70</v>
      </c>
      <c r="L13" s="27" t="s">
        <v>7</v>
      </c>
      <c r="M13" s="89">
        <v>10.95</v>
      </c>
      <c r="N13" s="82"/>
      <c r="O13" s="29"/>
      <c r="P13" s="13" t="e">
        <f t="shared" si="0"/>
        <v>#REF!</v>
      </c>
      <c r="Q13" s="13" t="e">
        <f t="shared" si="1"/>
        <v>#REF!</v>
      </c>
      <c r="R13" s="13" t="e">
        <f t="shared" si="2"/>
        <v>#REF!</v>
      </c>
      <c r="S13" s="31" t="e">
        <f>SUM(M13+N13+O13+P13+Q13+R13)</f>
        <v>#REF!</v>
      </c>
      <c r="T13" s="18" t="e">
        <f t="shared" si="3"/>
        <v>#REF!</v>
      </c>
      <c r="U13" s="38">
        <v>0</v>
      </c>
      <c r="V13" s="33" t="e">
        <f t="shared" si="4"/>
        <v>#REF!</v>
      </c>
      <c r="W13" s="19" t="e">
        <f t="shared" si="5"/>
        <v>#REF!</v>
      </c>
      <c r="X13" s="109">
        <f>Y13</f>
        <v>12.84</v>
      </c>
      <c r="Y13" s="35">
        <v>12.84</v>
      </c>
      <c r="Z13" s="16" t="e">
        <f>SUM(Y13-V13)/Y13</f>
        <v>#REF!</v>
      </c>
      <c r="AA13" s="102">
        <v>1200</v>
      </c>
      <c r="AB13" s="102">
        <f t="shared" si="11"/>
        <v>144</v>
      </c>
      <c r="AC13" s="103">
        <f t="shared" si="12"/>
        <v>15408</v>
      </c>
      <c r="AD13" s="104" t="e">
        <f t="shared" si="13"/>
        <v>#REF!</v>
      </c>
      <c r="AE13" s="115"/>
      <c r="AF13" s="105" t="e">
        <f t="shared" si="8"/>
        <v>#REF!</v>
      </c>
      <c r="AG13" s="105">
        <f t="shared" si="9"/>
        <v>0</v>
      </c>
      <c r="AH13" s="115"/>
      <c r="AI13" s="106">
        <f t="shared" si="10"/>
        <v>61.631999999999998</v>
      </c>
      <c r="AJ13" s="20">
        <v>0.75</v>
      </c>
    </row>
    <row r="14" spans="1:37" s="8" customFormat="1" ht="20.100000000000001" customHeight="1" x14ac:dyDescent="0.35">
      <c r="A14" s="45"/>
      <c r="B14" s="107" t="s">
        <v>9</v>
      </c>
      <c r="C14" s="40">
        <v>3160</v>
      </c>
      <c r="D14" s="48">
        <v>12</v>
      </c>
      <c r="E14" s="49">
        <v>9</v>
      </c>
      <c r="F14" s="50" t="s">
        <v>64</v>
      </c>
      <c r="G14" s="58" t="s">
        <v>53</v>
      </c>
      <c r="H14" s="61" t="s">
        <v>2</v>
      </c>
      <c r="I14" s="64" t="s">
        <v>42</v>
      </c>
      <c r="J14" s="64" t="s">
        <v>20</v>
      </c>
      <c r="K14" s="66" t="s">
        <v>85</v>
      </c>
      <c r="L14" s="26" t="s">
        <v>16</v>
      </c>
      <c r="M14" s="89">
        <v>1.9</v>
      </c>
      <c r="N14" s="84">
        <v>1.1000000000000001</v>
      </c>
      <c r="O14" s="29"/>
      <c r="P14" s="13" t="e">
        <f t="shared" si="0"/>
        <v>#REF!</v>
      </c>
      <c r="Q14" s="13" t="e">
        <f t="shared" si="1"/>
        <v>#REF!</v>
      </c>
      <c r="R14" s="13" t="e">
        <f t="shared" si="2"/>
        <v>#REF!</v>
      </c>
      <c r="S14" s="30" t="e">
        <f>SUM(D14*M14)/EURO+N14+O14+P14+Q14+R14</f>
        <v>#REF!</v>
      </c>
      <c r="T14" s="14" t="e">
        <f t="shared" si="3"/>
        <v>#REF!</v>
      </c>
      <c r="U14" s="36" t="e">
        <f t="shared" ref="U14:U19" si="14">SUM(WINEDUTY*E14)</f>
        <v>#REF!</v>
      </c>
      <c r="V14" s="32" t="e">
        <f t="shared" si="4"/>
        <v>#REF!</v>
      </c>
      <c r="W14" s="15" t="e">
        <f t="shared" si="5"/>
        <v>#REF!</v>
      </c>
      <c r="X14" s="101">
        <f t="shared" ref="X14:X19" si="15">SUM(Y14*D14)</f>
        <v>51.36</v>
      </c>
      <c r="Y14" s="35">
        <f>51.36/12</f>
        <v>4.28</v>
      </c>
      <c r="Z14" s="16" t="e">
        <f t="shared" ref="Z14:Z19" si="16">SUM(Y14-W14)/Y14</f>
        <v>#REF!</v>
      </c>
      <c r="AA14" s="102">
        <v>15000</v>
      </c>
      <c r="AB14" s="102">
        <f t="shared" si="11"/>
        <v>1800</v>
      </c>
      <c r="AC14" s="103">
        <f t="shared" si="12"/>
        <v>770400</v>
      </c>
      <c r="AD14" s="104" t="e">
        <f t="shared" si="13"/>
        <v>#REF!</v>
      </c>
      <c r="AE14" s="115"/>
      <c r="AF14" s="105" t="e">
        <f t="shared" si="8"/>
        <v>#REF!</v>
      </c>
      <c r="AG14" s="105" t="e">
        <f t="shared" si="9"/>
        <v>#REF!</v>
      </c>
      <c r="AH14" s="115"/>
      <c r="AI14" s="106">
        <f t="shared" si="10"/>
        <v>20.544</v>
      </c>
      <c r="AJ14" s="20">
        <v>0.75</v>
      </c>
    </row>
    <row r="15" spans="1:37" s="8" customFormat="1" ht="20.100000000000001" customHeight="1" x14ac:dyDescent="0.35">
      <c r="A15" s="45"/>
      <c r="B15" s="108" t="s">
        <v>9</v>
      </c>
      <c r="C15" s="40">
        <v>3481</v>
      </c>
      <c r="D15" s="48">
        <v>12</v>
      </c>
      <c r="E15" s="49">
        <v>9</v>
      </c>
      <c r="F15" s="50" t="s">
        <v>65</v>
      </c>
      <c r="G15" s="58" t="s">
        <v>53</v>
      </c>
      <c r="H15" s="61" t="s">
        <v>2</v>
      </c>
      <c r="I15" s="64" t="s">
        <v>42</v>
      </c>
      <c r="J15" s="64" t="s">
        <v>38</v>
      </c>
      <c r="K15" s="66" t="s">
        <v>69</v>
      </c>
      <c r="L15" s="26" t="s">
        <v>16</v>
      </c>
      <c r="M15" s="89">
        <v>2.95</v>
      </c>
      <c r="N15" s="83">
        <v>2</v>
      </c>
      <c r="O15" s="29"/>
      <c r="P15" s="13" t="e">
        <f t="shared" si="0"/>
        <v>#REF!</v>
      </c>
      <c r="Q15" s="13" t="e">
        <f t="shared" si="1"/>
        <v>#REF!</v>
      </c>
      <c r="R15" s="13" t="e">
        <f t="shared" si="2"/>
        <v>#REF!</v>
      </c>
      <c r="S15" s="30" t="e">
        <f>SUM(D15*M15)/EURO+N15+O15+P15+Q15+R15</f>
        <v>#REF!</v>
      </c>
      <c r="T15" s="14" t="e">
        <f t="shared" si="3"/>
        <v>#REF!</v>
      </c>
      <c r="U15" s="36" t="e">
        <f t="shared" si="14"/>
        <v>#REF!</v>
      </c>
      <c r="V15" s="32" t="e">
        <f t="shared" si="4"/>
        <v>#REF!</v>
      </c>
      <c r="W15" s="15" t="e">
        <f t="shared" si="5"/>
        <v>#REF!</v>
      </c>
      <c r="X15" s="101">
        <f t="shared" si="15"/>
        <v>72.5</v>
      </c>
      <c r="Y15" s="35">
        <f>72.5/12</f>
        <v>6.041666666666667</v>
      </c>
      <c r="Z15" s="16" t="e">
        <f t="shared" si="16"/>
        <v>#REF!</v>
      </c>
      <c r="AA15" s="102">
        <v>150</v>
      </c>
      <c r="AB15" s="102">
        <f t="shared" si="11"/>
        <v>18</v>
      </c>
      <c r="AC15" s="103">
        <f t="shared" si="12"/>
        <v>10875</v>
      </c>
      <c r="AD15" s="104" t="e">
        <f t="shared" si="13"/>
        <v>#REF!</v>
      </c>
      <c r="AE15" s="115"/>
      <c r="AF15" s="105" t="e">
        <f t="shared" si="8"/>
        <v>#REF!</v>
      </c>
      <c r="AG15" s="105" t="e">
        <f t="shared" si="9"/>
        <v>#REF!</v>
      </c>
      <c r="AH15" s="115"/>
      <c r="AI15" s="106">
        <f t="shared" si="10"/>
        <v>29</v>
      </c>
      <c r="AJ15" s="20">
        <v>0.75</v>
      </c>
    </row>
    <row r="16" spans="1:37" s="8" customFormat="1" ht="20.100000000000001" customHeight="1" x14ac:dyDescent="0.35">
      <c r="A16" s="45"/>
      <c r="B16" s="100" t="s">
        <v>9</v>
      </c>
      <c r="C16" s="43" t="s">
        <v>59</v>
      </c>
      <c r="D16" s="51">
        <v>12</v>
      </c>
      <c r="E16" s="52">
        <v>9</v>
      </c>
      <c r="F16" s="54" t="s">
        <v>65</v>
      </c>
      <c r="G16" s="59" t="s">
        <v>52</v>
      </c>
      <c r="H16" s="62" t="s">
        <v>6</v>
      </c>
      <c r="I16" s="64" t="s">
        <v>43</v>
      </c>
      <c r="J16" s="65" t="s">
        <v>18</v>
      </c>
      <c r="K16" s="66" t="s">
        <v>56</v>
      </c>
      <c r="L16" s="27" t="s">
        <v>7</v>
      </c>
      <c r="M16" s="89">
        <f>1.11*12</f>
        <v>13.32</v>
      </c>
      <c r="N16" s="82"/>
      <c r="O16" s="29"/>
      <c r="P16" s="13" t="e">
        <f t="shared" si="0"/>
        <v>#REF!</v>
      </c>
      <c r="Q16" s="13" t="e">
        <f t="shared" si="1"/>
        <v>#REF!</v>
      </c>
      <c r="R16" s="13" t="e">
        <f>SUM(MKT/100)*E16+7</f>
        <v>#REF!</v>
      </c>
      <c r="S16" s="31" t="e">
        <f>SUM(M16+N16+O16+P16+Q16+R16)</f>
        <v>#REF!</v>
      </c>
      <c r="T16" s="18" t="e">
        <f t="shared" si="3"/>
        <v>#REF!</v>
      </c>
      <c r="U16" s="38" t="e">
        <f t="shared" si="14"/>
        <v>#REF!</v>
      </c>
      <c r="V16" s="33" t="e">
        <f t="shared" si="4"/>
        <v>#REF!</v>
      </c>
      <c r="W16" s="19" t="e">
        <f t="shared" si="5"/>
        <v>#REF!</v>
      </c>
      <c r="X16" s="109">
        <f t="shared" si="15"/>
        <v>60.26</v>
      </c>
      <c r="Y16" s="35">
        <f>60.26/12</f>
        <v>5.0216666666666665</v>
      </c>
      <c r="Z16" s="16" t="e">
        <f t="shared" si="16"/>
        <v>#REF!</v>
      </c>
      <c r="AA16" s="102">
        <v>600</v>
      </c>
      <c r="AB16" s="102">
        <f t="shared" si="11"/>
        <v>72</v>
      </c>
      <c r="AC16" s="103">
        <f t="shared" si="12"/>
        <v>36156</v>
      </c>
      <c r="AD16" s="104" t="e">
        <f t="shared" si="13"/>
        <v>#REF!</v>
      </c>
      <c r="AE16" s="115"/>
      <c r="AF16" s="105" t="e">
        <f t="shared" si="8"/>
        <v>#REF!</v>
      </c>
      <c r="AG16" s="105" t="e">
        <f t="shared" si="9"/>
        <v>#REF!</v>
      </c>
      <c r="AH16" s="115"/>
      <c r="AI16" s="106">
        <f t="shared" si="10"/>
        <v>24.103999999999999</v>
      </c>
      <c r="AJ16" s="20">
        <v>0.75</v>
      </c>
    </row>
    <row r="17" spans="1:37" s="8" customFormat="1" ht="20.100000000000001" customHeight="1" x14ac:dyDescent="0.35">
      <c r="A17" s="45"/>
      <c r="B17" s="100" t="s">
        <v>82</v>
      </c>
      <c r="C17" s="40">
        <v>2110</v>
      </c>
      <c r="D17" s="48">
        <v>6</v>
      </c>
      <c r="E17" s="49">
        <v>4.5</v>
      </c>
      <c r="F17" s="50" t="s">
        <v>66</v>
      </c>
      <c r="G17" s="58" t="s">
        <v>53</v>
      </c>
      <c r="H17" s="61" t="s">
        <v>1</v>
      </c>
      <c r="I17" s="64" t="s">
        <v>44</v>
      </c>
      <c r="J17" s="64" t="s">
        <v>77</v>
      </c>
      <c r="K17" s="66" t="s">
        <v>76</v>
      </c>
      <c r="L17" s="26" t="s">
        <v>16</v>
      </c>
      <c r="M17" s="89">
        <v>2.9</v>
      </c>
      <c r="N17" s="83">
        <v>1</v>
      </c>
      <c r="O17" s="29"/>
      <c r="P17" s="13" t="e">
        <f t="shared" si="0"/>
        <v>#REF!</v>
      </c>
      <c r="Q17" s="13" t="e">
        <f t="shared" si="1"/>
        <v>#REF!</v>
      </c>
      <c r="R17" s="13" t="e">
        <f>SUM(MKT/100)*E17</f>
        <v>#REF!</v>
      </c>
      <c r="S17" s="30" t="e">
        <f>SUM(D17*M17)/EURO+N17+O17+P17+Q17+R17</f>
        <v>#REF!</v>
      </c>
      <c r="T17" s="14" t="e">
        <f t="shared" si="3"/>
        <v>#REF!</v>
      </c>
      <c r="U17" s="36" t="e">
        <f t="shared" si="14"/>
        <v>#REF!</v>
      </c>
      <c r="V17" s="32" t="e">
        <f t="shared" si="4"/>
        <v>#REF!</v>
      </c>
      <c r="W17" s="15" t="e">
        <f t="shared" si="5"/>
        <v>#REF!</v>
      </c>
      <c r="X17" s="101">
        <f t="shared" si="15"/>
        <v>33.6</v>
      </c>
      <c r="Y17" s="35">
        <f>67.2/12</f>
        <v>5.6000000000000005</v>
      </c>
      <c r="Z17" s="16" t="e">
        <f t="shared" si="16"/>
        <v>#REF!</v>
      </c>
      <c r="AA17" s="102">
        <v>3000</v>
      </c>
      <c r="AB17" s="102">
        <f t="shared" si="11"/>
        <v>180</v>
      </c>
      <c r="AC17" s="103">
        <f t="shared" si="12"/>
        <v>100800</v>
      </c>
      <c r="AD17" s="104" t="e">
        <f t="shared" si="13"/>
        <v>#REF!</v>
      </c>
      <c r="AE17" s="115"/>
      <c r="AF17" s="105" t="e">
        <f t="shared" si="8"/>
        <v>#REF!</v>
      </c>
      <c r="AG17" s="105" t="e">
        <f t="shared" si="9"/>
        <v>#REF!</v>
      </c>
      <c r="AH17" s="115"/>
      <c r="AI17" s="106">
        <f t="shared" si="10"/>
        <v>26.880000000000003</v>
      </c>
      <c r="AJ17" s="20">
        <v>0.75</v>
      </c>
    </row>
    <row r="18" spans="1:37" s="8" customFormat="1" ht="20.100000000000001" customHeight="1" x14ac:dyDescent="0.35">
      <c r="A18" s="45"/>
      <c r="B18" s="100" t="s">
        <v>82</v>
      </c>
      <c r="C18" s="40">
        <v>2089</v>
      </c>
      <c r="D18" s="48">
        <v>6</v>
      </c>
      <c r="E18" s="49">
        <v>4.5</v>
      </c>
      <c r="F18" s="50" t="s">
        <v>65</v>
      </c>
      <c r="G18" s="58" t="s">
        <v>53</v>
      </c>
      <c r="H18" s="61" t="s">
        <v>1</v>
      </c>
      <c r="I18" s="64" t="s">
        <v>49</v>
      </c>
      <c r="J18" s="64" t="s">
        <v>83</v>
      </c>
      <c r="K18" s="66" t="s">
        <v>84</v>
      </c>
      <c r="L18" s="26" t="s">
        <v>16</v>
      </c>
      <c r="M18" s="89">
        <v>2.76</v>
      </c>
      <c r="N18" s="83">
        <v>1</v>
      </c>
      <c r="O18" s="29"/>
      <c r="P18" s="13" t="e">
        <f t="shared" si="0"/>
        <v>#REF!</v>
      </c>
      <c r="Q18" s="13" t="e">
        <f t="shared" si="1"/>
        <v>#REF!</v>
      </c>
      <c r="R18" s="13" t="e">
        <f>SUM(MKT/100)*E18</f>
        <v>#REF!</v>
      </c>
      <c r="S18" s="30" t="e">
        <f>SUM(D18*M18)/EURO+N18+O18+P18+Q18+R18</f>
        <v>#REF!</v>
      </c>
      <c r="T18" s="14" t="e">
        <f t="shared" si="3"/>
        <v>#REF!</v>
      </c>
      <c r="U18" s="36" t="e">
        <f t="shared" si="14"/>
        <v>#REF!</v>
      </c>
      <c r="V18" s="32" t="e">
        <f t="shared" si="4"/>
        <v>#REF!</v>
      </c>
      <c r="W18" s="15" t="e">
        <f t="shared" si="5"/>
        <v>#REF!</v>
      </c>
      <c r="X18" s="101">
        <f t="shared" si="15"/>
        <v>30.6</v>
      </c>
      <c r="Y18" s="35">
        <f>30.6/6</f>
        <v>5.1000000000000005</v>
      </c>
      <c r="Z18" s="16" t="e">
        <f t="shared" si="16"/>
        <v>#REF!</v>
      </c>
      <c r="AA18" s="102">
        <v>8000</v>
      </c>
      <c r="AB18" s="102">
        <f t="shared" si="11"/>
        <v>480</v>
      </c>
      <c r="AC18" s="103">
        <f t="shared" si="12"/>
        <v>244800</v>
      </c>
      <c r="AD18" s="104" t="e">
        <f t="shared" si="13"/>
        <v>#REF!</v>
      </c>
      <c r="AE18" s="115"/>
      <c r="AF18" s="105" t="e">
        <f t="shared" si="8"/>
        <v>#REF!</v>
      </c>
      <c r="AG18" s="105" t="e">
        <f t="shared" si="9"/>
        <v>#REF!</v>
      </c>
      <c r="AH18" s="115"/>
      <c r="AI18" s="106">
        <f t="shared" si="10"/>
        <v>24.48</v>
      </c>
      <c r="AJ18" s="20">
        <v>0.75</v>
      </c>
      <c r="AK18" s="110"/>
    </row>
    <row r="19" spans="1:37" s="6" customFormat="1" ht="20.100000000000001" customHeight="1" x14ac:dyDescent="0.35">
      <c r="A19" s="45"/>
      <c r="B19" s="100" t="s">
        <v>82</v>
      </c>
      <c r="C19" s="40">
        <v>3535</v>
      </c>
      <c r="D19" s="48">
        <v>6</v>
      </c>
      <c r="E19" s="49">
        <v>4.5</v>
      </c>
      <c r="F19" s="50" t="s">
        <v>65</v>
      </c>
      <c r="G19" s="58" t="s">
        <v>53</v>
      </c>
      <c r="H19" s="61" t="s">
        <v>2</v>
      </c>
      <c r="I19" s="64" t="s">
        <v>41</v>
      </c>
      <c r="J19" s="64" t="s">
        <v>61</v>
      </c>
      <c r="K19" s="66" t="s">
        <v>62</v>
      </c>
      <c r="L19" s="26" t="s">
        <v>16</v>
      </c>
      <c r="M19" s="89">
        <v>3.25</v>
      </c>
      <c r="N19" s="83">
        <v>1.75</v>
      </c>
      <c r="O19" s="29"/>
      <c r="P19" s="13" t="e">
        <f t="shared" si="0"/>
        <v>#REF!</v>
      </c>
      <c r="Q19" s="13" t="e">
        <f t="shared" si="1"/>
        <v>#REF!</v>
      </c>
      <c r="R19" s="13" t="e">
        <f>SUM(MKT/100)*E19</f>
        <v>#REF!</v>
      </c>
      <c r="S19" s="30" t="e">
        <f>SUM(D19*M19)/EURO+N19+O19+P19+Q19+R19</f>
        <v>#REF!</v>
      </c>
      <c r="T19" s="14" t="e">
        <f t="shared" si="3"/>
        <v>#REF!</v>
      </c>
      <c r="U19" s="37" t="e">
        <f t="shared" si="14"/>
        <v>#REF!</v>
      </c>
      <c r="V19" s="34" t="e">
        <f t="shared" si="4"/>
        <v>#REF!</v>
      </c>
      <c r="W19" s="21" t="e">
        <f t="shared" si="5"/>
        <v>#REF!</v>
      </c>
      <c r="X19" s="101">
        <f t="shared" si="15"/>
        <v>34.799999999999997</v>
      </c>
      <c r="Y19" s="35">
        <f>34.8/6</f>
        <v>5.8</v>
      </c>
      <c r="Z19" s="16" t="e">
        <f t="shared" si="16"/>
        <v>#REF!</v>
      </c>
      <c r="AA19" s="102">
        <v>3000</v>
      </c>
      <c r="AB19" s="102">
        <f t="shared" si="11"/>
        <v>180</v>
      </c>
      <c r="AC19" s="103">
        <f t="shared" si="12"/>
        <v>104399.99999999999</v>
      </c>
      <c r="AD19" s="104" t="e">
        <f t="shared" si="13"/>
        <v>#REF!</v>
      </c>
      <c r="AE19" s="115"/>
      <c r="AF19" s="105" t="e">
        <f t="shared" si="8"/>
        <v>#REF!</v>
      </c>
      <c r="AG19" s="105" t="e">
        <f t="shared" si="9"/>
        <v>#REF!</v>
      </c>
      <c r="AH19" s="115"/>
      <c r="AI19" s="106">
        <f t="shared" si="10"/>
        <v>27.84</v>
      </c>
      <c r="AJ19" s="20">
        <v>0.75</v>
      </c>
      <c r="AK19" s="8"/>
    </row>
    <row r="20" spans="1:37" ht="20.100000000000001" customHeight="1" x14ac:dyDescent="0.35">
      <c r="AA20" s="102"/>
      <c r="AB20" s="102"/>
      <c r="AC20" s="103"/>
      <c r="AD20" s="104"/>
    </row>
    <row r="21" spans="1:37" ht="19.5" customHeight="1" x14ac:dyDescent="0.35">
      <c r="N21" s="22"/>
      <c r="AA21" s="102"/>
      <c r="AB21" s="102"/>
      <c r="AC21" s="103">
        <f>SUM(AC7:AC19)</f>
        <v>1447146</v>
      </c>
      <c r="AD21" s="103" t="e">
        <f>SUM(AD7:AD19)</f>
        <v>#REF!</v>
      </c>
      <c r="AE21" s="2"/>
      <c r="AF21" s="103" t="e">
        <f>SUM(AF7:AF19)</f>
        <v>#REF!</v>
      </c>
      <c r="AG21" s="114" t="e">
        <f>SUM(AG7:AG19)</f>
        <v>#REF!</v>
      </c>
      <c r="AH21" s="2"/>
    </row>
    <row r="22" spans="1:37" x14ac:dyDescent="0.35">
      <c r="AC22" s="116" t="s">
        <v>89</v>
      </c>
      <c r="AD22" s="117" t="e">
        <f>AD21/AC21</f>
        <v>#REF!</v>
      </c>
    </row>
    <row r="23" spans="1:37" x14ac:dyDescent="0.35">
      <c r="AB23" s="103"/>
    </row>
    <row r="24" spans="1:37" x14ac:dyDescent="0.35">
      <c r="AB24" s="103"/>
    </row>
  </sheetData>
  <autoFilter ref="A6:AJ19" xr:uid="{00000000-0009-0000-0000-000001000000}">
    <sortState xmlns:xlrd2="http://schemas.microsoft.com/office/spreadsheetml/2017/richdata2" ref="A7:AJ19">
      <sortCondition ref="B6"/>
    </sortState>
  </autoFilter>
  <mergeCells count="23">
    <mergeCell ref="G4:G5"/>
    <mergeCell ref="A4:A5"/>
    <mergeCell ref="C4:C5"/>
    <mergeCell ref="D4:D5"/>
    <mergeCell ref="E4:E5"/>
    <mergeCell ref="F4:F5"/>
    <mergeCell ref="W4:W5"/>
    <mergeCell ref="H4:H5"/>
    <mergeCell ref="I4:I5"/>
    <mergeCell ref="J4:J5"/>
    <mergeCell ref="K4:K5"/>
    <mergeCell ref="L4:M5"/>
    <mergeCell ref="N4:N5"/>
    <mergeCell ref="O4:R4"/>
    <mergeCell ref="S4:S5"/>
    <mergeCell ref="T4:T5"/>
    <mergeCell ref="U4:U5"/>
    <mergeCell ref="V4:V5"/>
    <mergeCell ref="X4:X5"/>
    <mergeCell ref="Y4:Y5"/>
    <mergeCell ref="Z4:Z5"/>
    <mergeCell ref="AI4:AI5"/>
    <mergeCell ref="AJ4:AJ5"/>
  </mergeCells>
  <conditionalFormatting sqref="B17:B19 B12:B15 B4:B8">
    <cfRule type="containsText" dxfId="57" priority="189" operator="containsText" text="NEW">
      <formula>NOT(ISERROR(SEARCH("NEW",B4)))</formula>
    </cfRule>
    <cfRule type="cellIs" dxfId="56" priority="190" stopIfTrue="1" operator="equal">
      <formula>"DELIST"</formula>
    </cfRule>
  </conditionalFormatting>
  <conditionalFormatting sqref="Z8 Z13:Z15 AJ13:AJ16">
    <cfRule type="cellIs" dxfId="55" priority="187" stopIfTrue="1" operator="lessThan">
      <formula>0.299</formula>
    </cfRule>
    <cfRule type="cellIs" dxfId="54" priority="188" stopIfTrue="1" operator="greaterThan">
      <formula>0.349</formula>
    </cfRule>
  </conditionalFormatting>
  <conditionalFormatting sqref="B16">
    <cfRule type="containsText" dxfId="53" priority="185" operator="containsText" text="NEW">
      <formula>NOT(ISERROR(SEARCH("NEW",B16)))</formula>
    </cfRule>
    <cfRule type="cellIs" dxfId="52" priority="186" stopIfTrue="1" operator="equal">
      <formula>"DELIST"</formula>
    </cfRule>
  </conditionalFormatting>
  <conditionalFormatting sqref="Z16">
    <cfRule type="cellIs" dxfId="51" priority="183" stopIfTrue="1" operator="lessThan">
      <formula>0.299</formula>
    </cfRule>
    <cfRule type="cellIs" dxfId="50" priority="184" stopIfTrue="1" operator="greaterThan">
      <formula>0.349</formula>
    </cfRule>
  </conditionalFormatting>
  <conditionalFormatting sqref="B18">
    <cfRule type="containsText" dxfId="49" priority="167" operator="containsText" text="NEW">
      <formula>NOT(ISERROR(SEARCH("NEW",B18)))</formula>
    </cfRule>
    <cfRule type="cellIs" dxfId="48" priority="168" stopIfTrue="1" operator="equal">
      <formula>"DELIST"</formula>
    </cfRule>
  </conditionalFormatting>
  <conditionalFormatting sqref="Z18">
    <cfRule type="cellIs" dxfId="47" priority="165" stopIfTrue="1" operator="lessThan">
      <formula>0.299</formula>
    </cfRule>
    <cfRule type="cellIs" dxfId="46" priority="166" stopIfTrue="1" operator="greaterThan">
      <formula>0.349</formula>
    </cfRule>
  </conditionalFormatting>
  <conditionalFormatting sqref="Z17">
    <cfRule type="cellIs" dxfId="45" priority="181" stopIfTrue="1" operator="lessThan">
      <formula>0.299</formula>
    </cfRule>
    <cfRule type="cellIs" dxfId="44" priority="182" stopIfTrue="1" operator="greaterThan">
      <formula>0.349</formula>
    </cfRule>
  </conditionalFormatting>
  <conditionalFormatting sqref="AJ8">
    <cfRule type="cellIs" dxfId="43" priority="159" stopIfTrue="1" operator="lessThan">
      <formula>0.299</formula>
    </cfRule>
    <cfRule type="cellIs" dxfId="42" priority="160" stopIfTrue="1" operator="greaterThan">
      <formula>0.349</formula>
    </cfRule>
  </conditionalFormatting>
  <conditionalFormatting sqref="AJ16">
    <cfRule type="cellIs" dxfId="41" priority="157" stopIfTrue="1" operator="lessThan">
      <formula>0.299</formula>
    </cfRule>
    <cfRule type="cellIs" dxfId="40" priority="158" stopIfTrue="1" operator="greaterThan">
      <formula>0.349</formula>
    </cfRule>
  </conditionalFormatting>
  <conditionalFormatting sqref="AJ18">
    <cfRule type="cellIs" dxfId="39" priority="147" stopIfTrue="1" operator="lessThan">
      <formula>0.299</formula>
    </cfRule>
    <cfRule type="cellIs" dxfId="38" priority="148" stopIfTrue="1" operator="greaterThan">
      <formula>0.349</formula>
    </cfRule>
  </conditionalFormatting>
  <conditionalFormatting sqref="AJ17">
    <cfRule type="cellIs" dxfId="37" priority="155" stopIfTrue="1" operator="lessThan">
      <formula>0.299</formula>
    </cfRule>
    <cfRule type="cellIs" dxfId="36" priority="156" stopIfTrue="1" operator="greaterThan">
      <formula>0.349</formula>
    </cfRule>
  </conditionalFormatting>
  <conditionalFormatting sqref="B19">
    <cfRule type="containsText" dxfId="35" priority="131" operator="containsText" text="NEW">
      <formula>NOT(ISERROR(SEARCH("NEW",B19)))</formula>
    </cfRule>
    <cfRule type="cellIs" dxfId="34" priority="132" stopIfTrue="1" operator="equal">
      <formula>"DELIST"</formula>
    </cfRule>
  </conditionalFormatting>
  <conditionalFormatting sqref="Z19">
    <cfRule type="cellIs" dxfId="33" priority="129" stopIfTrue="1" operator="lessThan">
      <formula>0.299</formula>
    </cfRule>
    <cfRule type="cellIs" dxfId="32" priority="130" stopIfTrue="1" operator="greaterThan">
      <formula>0.349</formula>
    </cfRule>
  </conditionalFormatting>
  <conditionalFormatting sqref="AJ19">
    <cfRule type="cellIs" dxfId="31" priority="127" stopIfTrue="1" operator="lessThan">
      <formula>0.299</formula>
    </cfRule>
    <cfRule type="cellIs" dxfId="30" priority="128" stopIfTrue="1" operator="greaterThan">
      <formula>0.349</formula>
    </cfRule>
  </conditionalFormatting>
  <conditionalFormatting sqref="Z12">
    <cfRule type="cellIs" dxfId="29" priority="81" stopIfTrue="1" operator="lessThan">
      <formula>0.299</formula>
    </cfRule>
    <cfRule type="cellIs" dxfId="28" priority="82" stopIfTrue="1" operator="greaterThan">
      <formula>0.349</formula>
    </cfRule>
  </conditionalFormatting>
  <conditionalFormatting sqref="AJ12">
    <cfRule type="cellIs" dxfId="27" priority="79" stopIfTrue="1" operator="lessThan">
      <formula>0.299</formula>
    </cfRule>
    <cfRule type="cellIs" dxfId="26" priority="80" stopIfTrue="1" operator="greaterThan">
      <formula>0.349</formula>
    </cfRule>
  </conditionalFormatting>
  <conditionalFormatting sqref="B7">
    <cfRule type="containsText" dxfId="25" priority="57" operator="containsText" text="NEW">
      <formula>NOT(ISERROR(SEARCH("NEW",B7)))</formula>
    </cfRule>
    <cfRule type="cellIs" dxfId="24" priority="58" stopIfTrue="1" operator="equal">
      <formula>"DELIST"</formula>
    </cfRule>
  </conditionalFormatting>
  <conditionalFormatting sqref="Z7">
    <cfRule type="cellIs" dxfId="23" priority="55" stopIfTrue="1" operator="lessThan">
      <formula>0.299</formula>
    </cfRule>
    <cfRule type="cellIs" dxfId="22" priority="56" stopIfTrue="1" operator="greaterThan">
      <formula>0.349</formula>
    </cfRule>
  </conditionalFormatting>
  <conditionalFormatting sqref="AJ7">
    <cfRule type="cellIs" dxfId="21" priority="53" stopIfTrue="1" operator="lessThan">
      <formula>0.299</formula>
    </cfRule>
    <cfRule type="cellIs" dxfId="20" priority="54" stopIfTrue="1" operator="greaterThan">
      <formula>0.349</formula>
    </cfRule>
  </conditionalFormatting>
  <conditionalFormatting sqref="Z11">
    <cfRule type="cellIs" dxfId="19" priority="41" stopIfTrue="1" operator="lessThan">
      <formula>0.299</formula>
    </cfRule>
    <cfRule type="cellIs" dxfId="18" priority="42" stopIfTrue="1" operator="greaterThan">
      <formula>0.349</formula>
    </cfRule>
  </conditionalFormatting>
  <conditionalFormatting sqref="B11">
    <cfRule type="containsText" dxfId="17" priority="43" operator="containsText" text="NEW">
      <formula>NOT(ISERROR(SEARCH("NEW",B11)))</formula>
    </cfRule>
    <cfRule type="cellIs" dxfId="16" priority="44" stopIfTrue="1" operator="equal">
      <formula>"DELIST"</formula>
    </cfRule>
  </conditionalFormatting>
  <conditionalFormatting sqref="AJ11">
    <cfRule type="cellIs" dxfId="15" priority="33" stopIfTrue="1" operator="lessThan">
      <formula>0.299</formula>
    </cfRule>
    <cfRule type="cellIs" dxfId="14" priority="34" stopIfTrue="1" operator="greaterThan">
      <formula>0.349</formula>
    </cfRule>
  </conditionalFormatting>
  <conditionalFormatting sqref="B10">
    <cfRule type="containsText" dxfId="13" priority="39" operator="containsText" text="NEW">
      <formula>NOT(ISERROR(SEARCH("NEW",B10)))</formula>
    </cfRule>
    <cfRule type="cellIs" dxfId="12" priority="40" stopIfTrue="1" operator="equal">
      <formula>"DELIST"</formula>
    </cfRule>
  </conditionalFormatting>
  <conditionalFormatting sqref="Z10">
    <cfRule type="cellIs" dxfId="11" priority="37" stopIfTrue="1" operator="lessThan">
      <formula>0.299</formula>
    </cfRule>
    <cfRule type="cellIs" dxfId="10" priority="38" stopIfTrue="1" operator="greaterThan">
      <formula>0.349</formula>
    </cfRule>
  </conditionalFormatting>
  <conditionalFormatting sqref="AJ10">
    <cfRule type="cellIs" dxfId="9" priority="35" stopIfTrue="1" operator="lessThan">
      <formula>0.299</formula>
    </cfRule>
    <cfRule type="cellIs" dxfId="8" priority="36" stopIfTrue="1" operator="greaterThan">
      <formula>0.349</formula>
    </cfRule>
  </conditionalFormatting>
  <conditionalFormatting sqref="Z9">
    <cfRule type="cellIs" dxfId="7" priority="21" stopIfTrue="1" operator="lessThan">
      <formula>0.299</formula>
    </cfRule>
    <cfRule type="cellIs" dxfId="6" priority="22" stopIfTrue="1" operator="greaterThan">
      <formula>0.349</formula>
    </cfRule>
  </conditionalFormatting>
  <conditionalFormatting sqref="AJ9">
    <cfRule type="cellIs" dxfId="5" priority="19" stopIfTrue="1" operator="lessThan">
      <formula>0.299</formula>
    </cfRule>
    <cfRule type="cellIs" dxfId="4" priority="20" stopIfTrue="1" operator="greaterThan">
      <formula>0.349</formula>
    </cfRule>
  </conditionalFormatting>
  <conditionalFormatting sqref="B9">
    <cfRule type="containsText" dxfId="3" priority="5" operator="containsText" text="NEW">
      <formula>NOT(ISERROR(SEARCH("NEW",B9)))</formula>
    </cfRule>
    <cfRule type="cellIs" dxfId="2" priority="6" stopIfTrue="1" operator="equal">
      <formula>"DELIST"</formula>
    </cfRule>
  </conditionalFormatting>
  <conditionalFormatting sqref="B9">
    <cfRule type="containsText" dxfId="1" priority="3" operator="containsText" text="NEW">
      <formula>NOT(ISERROR(SEARCH("NEW",B9)))</formula>
    </cfRule>
    <cfRule type="cellIs" dxfId="0" priority="4" stopIfTrue="1" operator="equal">
      <formula>"DELIST"</formula>
    </cfRule>
  </conditionalFormatting>
  <dataValidations count="5">
    <dataValidation type="list" allowBlank="1" showErrorMessage="1" sqref="B10:B15 B7:B8" xr:uid="{00000000-0002-0000-0100-000000000000}">
      <formula1>$B$1:$B$2</formula1>
    </dataValidation>
    <dataValidation type="list" allowBlank="1" showErrorMessage="1" sqref="L7 L19" xr:uid="{00000000-0002-0000-0100-000001000000}">
      <formula1>#REF!</formula1>
      <formula2>0</formula2>
    </dataValidation>
    <dataValidation type="list" allowBlank="1" showErrorMessage="1" sqref="L8 L12:L18" xr:uid="{00000000-0002-0000-0100-000002000000}">
      <formula1>$M$4:$M$5</formula1>
      <formula2>0</formula2>
    </dataValidation>
    <dataValidation type="list" allowBlank="1" showErrorMessage="1" sqref="B4:B5" xr:uid="{00000000-0002-0000-0100-000003000000}">
      <formula1>$B$4:$B$5</formula1>
    </dataValidation>
    <dataValidation type="list" allowBlank="1" showErrorMessage="1" sqref="L9:L11" xr:uid="{00000000-0002-0000-0100-000004000000}">
      <formula1>$M$1:$M$2</formula1>
      <formula2>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showGridLines="0" zoomScale="80" zoomScaleNormal="80" zoomScalePageLayoutView="90" workbookViewId="0">
      <pane ySplit="3" topLeftCell="A4" activePane="bottomLeft" state="frozen"/>
      <selection pane="bottomLeft" activeCell="F19" sqref="F19"/>
    </sheetView>
  </sheetViews>
  <sheetFormatPr defaultColWidth="10.703125" defaultRowHeight="20.100000000000001" customHeight="1" x14ac:dyDescent="0.35"/>
  <cols>
    <col min="1" max="3" width="8.703125" style="3" customWidth="1"/>
    <col min="4" max="4" width="15.703125" style="123" customWidth="1"/>
    <col min="5" max="5" width="20.703125" style="63" customWidth="1"/>
    <col min="6" max="6" width="60.703125" style="123" customWidth="1"/>
    <col min="7" max="8" width="8.703125" style="3" customWidth="1"/>
    <col min="9" max="9" width="10.703125" style="1" customWidth="1"/>
    <col min="10" max="10" width="10.703125" style="12" customWidth="1"/>
    <col min="11" max="11" width="10.703125" style="131" customWidth="1"/>
    <col min="12" max="14" width="10.703125" style="131"/>
    <col min="15" max="16384" width="10.703125" style="1"/>
  </cols>
  <sheetData>
    <row r="1" spans="1:14" s="4" customFormat="1" ht="20.100000000000001" customHeight="1" x14ac:dyDescent="0.35">
      <c r="A1" s="155" t="s">
        <v>10</v>
      </c>
      <c r="B1" s="152" t="s">
        <v>92</v>
      </c>
      <c r="C1" s="152" t="s">
        <v>63</v>
      </c>
      <c r="D1" s="155" t="s">
        <v>11</v>
      </c>
      <c r="E1" s="155" t="s">
        <v>12</v>
      </c>
      <c r="F1" s="157" t="s">
        <v>14</v>
      </c>
      <c r="G1" s="175" t="s">
        <v>98</v>
      </c>
      <c r="H1" s="175" t="s">
        <v>95</v>
      </c>
      <c r="I1" s="152" t="s">
        <v>90</v>
      </c>
      <c r="J1" s="152" t="s">
        <v>91</v>
      </c>
      <c r="K1" s="152" t="s">
        <v>93</v>
      </c>
      <c r="L1" s="152" t="s">
        <v>94</v>
      </c>
      <c r="M1" s="152" t="s">
        <v>96</v>
      </c>
      <c r="N1" s="152" t="s">
        <v>97</v>
      </c>
    </row>
    <row r="2" spans="1:14" s="4" customFormat="1" ht="20.100000000000001" customHeight="1" x14ac:dyDescent="0.35">
      <c r="A2" s="162"/>
      <c r="B2" s="153"/>
      <c r="C2" s="153"/>
      <c r="D2" s="162"/>
      <c r="E2" s="162"/>
      <c r="F2" s="174"/>
      <c r="G2" s="176"/>
      <c r="H2" s="176"/>
      <c r="I2" s="153"/>
      <c r="J2" s="153"/>
      <c r="K2" s="153"/>
      <c r="L2" s="153"/>
      <c r="M2" s="153"/>
      <c r="N2" s="153"/>
    </row>
    <row r="3" spans="1:14" s="5" customFormat="1" ht="20.100000000000001" customHeight="1" x14ac:dyDescent="0.35">
      <c r="A3" s="72"/>
      <c r="B3" s="73"/>
      <c r="C3" s="75"/>
      <c r="D3" s="122"/>
      <c r="E3" s="77"/>
      <c r="F3" s="124"/>
      <c r="G3" s="73"/>
      <c r="H3" s="73"/>
      <c r="I3" s="78"/>
      <c r="J3" s="79"/>
      <c r="K3" s="129"/>
      <c r="L3" s="129"/>
      <c r="M3" s="129"/>
      <c r="N3" s="129"/>
    </row>
    <row r="4" spans="1:14" s="2" customFormat="1" ht="20.100000000000001" customHeight="1" x14ac:dyDescent="0.35">
      <c r="A4" s="40" t="s">
        <v>447</v>
      </c>
      <c r="B4" s="48">
        <v>1</v>
      </c>
      <c r="C4" s="48" t="s">
        <v>448</v>
      </c>
      <c r="D4" s="64" t="s">
        <v>4</v>
      </c>
      <c r="E4" s="60" t="s">
        <v>449</v>
      </c>
      <c r="F4" s="125" t="s">
        <v>450</v>
      </c>
      <c r="G4" s="150">
        <v>11</v>
      </c>
      <c r="H4" s="140">
        <v>29.756999999999998</v>
      </c>
      <c r="I4" s="120">
        <v>72</v>
      </c>
      <c r="J4" s="121">
        <v>72</v>
      </c>
      <c r="K4" s="130">
        <v>0</v>
      </c>
      <c r="L4" s="132">
        <f t="shared" ref="L4:L32" si="0">SUM(J4*(1-K4))</f>
        <v>72</v>
      </c>
      <c r="M4" s="141">
        <f>L4*B4</f>
        <v>72</v>
      </c>
      <c r="N4" s="132">
        <f>M4-H4</f>
        <v>42.243000000000002</v>
      </c>
    </row>
    <row r="5" spans="1:14" s="2" customFormat="1" ht="20.100000000000001" customHeight="1" x14ac:dyDescent="0.35">
      <c r="A5" s="40" t="s">
        <v>451</v>
      </c>
      <c r="B5" s="48">
        <v>1</v>
      </c>
      <c r="C5" s="48" t="s">
        <v>448</v>
      </c>
      <c r="D5" s="64" t="s">
        <v>4</v>
      </c>
      <c r="E5" s="60" t="s">
        <v>449</v>
      </c>
      <c r="F5" s="125" t="s">
        <v>452</v>
      </c>
      <c r="G5" s="150">
        <v>11</v>
      </c>
      <c r="H5" s="140">
        <v>29.756999999999998</v>
      </c>
      <c r="I5" s="120">
        <v>68</v>
      </c>
      <c r="J5" s="121">
        <v>68</v>
      </c>
      <c r="K5" s="130">
        <v>0</v>
      </c>
      <c r="L5" s="132">
        <f t="shared" si="0"/>
        <v>68</v>
      </c>
      <c r="M5" s="141">
        <f t="shared" ref="M5:M32" si="1">L5*B5</f>
        <v>68</v>
      </c>
      <c r="N5" s="132">
        <f t="shared" ref="N5:N32" si="2">M5-H5</f>
        <v>38.243000000000002</v>
      </c>
    </row>
    <row r="6" spans="1:14" s="2" customFormat="1" ht="20.100000000000001" customHeight="1" x14ac:dyDescent="0.35">
      <c r="A6" s="40" t="s">
        <v>453</v>
      </c>
      <c r="B6" s="48">
        <v>6</v>
      </c>
      <c r="C6" s="48" t="s">
        <v>448</v>
      </c>
      <c r="D6" s="64" t="s">
        <v>4</v>
      </c>
      <c r="E6" s="60" t="s">
        <v>449</v>
      </c>
      <c r="F6" s="125" t="s">
        <v>454</v>
      </c>
      <c r="G6" s="150">
        <v>11</v>
      </c>
      <c r="H6" s="140">
        <v>17.854199999999999</v>
      </c>
      <c r="I6" s="120">
        <v>51</v>
      </c>
      <c r="J6" s="121">
        <v>8.5</v>
      </c>
      <c r="K6" s="130">
        <v>0</v>
      </c>
      <c r="L6" s="132">
        <f t="shared" si="0"/>
        <v>8.5</v>
      </c>
      <c r="M6" s="141">
        <f t="shared" si="1"/>
        <v>51</v>
      </c>
      <c r="N6" s="132">
        <f t="shared" si="2"/>
        <v>33.145800000000001</v>
      </c>
    </row>
    <row r="7" spans="1:14" s="2" customFormat="1" ht="20.100000000000001" customHeight="1" x14ac:dyDescent="0.35">
      <c r="A7" s="40">
        <v>2991</v>
      </c>
      <c r="B7" s="48">
        <v>6</v>
      </c>
      <c r="C7" s="48" t="s">
        <v>455</v>
      </c>
      <c r="D7" s="64" t="s">
        <v>315</v>
      </c>
      <c r="E7" s="60" t="s">
        <v>449</v>
      </c>
      <c r="F7" s="125" t="s">
        <v>456</v>
      </c>
      <c r="G7" s="150">
        <v>20</v>
      </c>
      <c r="H7" s="140">
        <v>17.852399999999999</v>
      </c>
      <c r="I7" s="120">
        <v>252</v>
      </c>
      <c r="J7" s="121">
        <v>42</v>
      </c>
      <c r="K7" s="130">
        <v>0</v>
      </c>
      <c r="L7" s="132">
        <f t="shared" si="0"/>
        <v>42</v>
      </c>
      <c r="M7" s="141">
        <f t="shared" si="1"/>
        <v>252</v>
      </c>
      <c r="N7" s="132">
        <f t="shared" si="2"/>
        <v>234.14760000000001</v>
      </c>
    </row>
    <row r="8" spans="1:14" s="2" customFormat="1" ht="20.100000000000001" customHeight="1" x14ac:dyDescent="0.35">
      <c r="A8" s="40" t="s">
        <v>457</v>
      </c>
      <c r="B8" s="48">
        <v>6</v>
      </c>
      <c r="C8" s="48" t="s">
        <v>455</v>
      </c>
      <c r="D8" s="64" t="s">
        <v>315</v>
      </c>
      <c r="E8" s="60" t="s">
        <v>449</v>
      </c>
      <c r="F8" s="125" t="s">
        <v>458</v>
      </c>
      <c r="G8" s="150">
        <v>20</v>
      </c>
      <c r="H8" s="140">
        <v>17.852399999999999</v>
      </c>
      <c r="I8" s="120">
        <v>123.19125</v>
      </c>
      <c r="J8" s="121">
        <v>20.531874999999999</v>
      </c>
      <c r="K8" s="130">
        <v>0</v>
      </c>
      <c r="L8" s="132">
        <f t="shared" si="0"/>
        <v>20.531874999999999</v>
      </c>
      <c r="M8" s="141">
        <f t="shared" si="1"/>
        <v>123.19125</v>
      </c>
      <c r="N8" s="132">
        <f t="shared" si="2"/>
        <v>105.33884999999999</v>
      </c>
    </row>
    <row r="9" spans="1:14" s="2" customFormat="1" ht="20.100000000000001" customHeight="1" x14ac:dyDescent="0.35">
      <c r="A9" s="40" t="s">
        <v>459</v>
      </c>
      <c r="B9" s="48">
        <v>6</v>
      </c>
      <c r="C9" s="48" t="s">
        <v>455</v>
      </c>
      <c r="D9" s="64" t="s">
        <v>315</v>
      </c>
      <c r="E9" s="60" t="s">
        <v>449</v>
      </c>
      <c r="F9" s="125" t="s">
        <v>460</v>
      </c>
      <c r="G9" s="150">
        <v>20</v>
      </c>
      <c r="H9" s="140">
        <v>17.852399999999999</v>
      </c>
      <c r="I9" s="120">
        <v>101.16</v>
      </c>
      <c r="J9" s="121">
        <v>16.86</v>
      </c>
      <c r="K9" s="130">
        <v>0</v>
      </c>
      <c r="L9" s="132">
        <f t="shared" si="0"/>
        <v>16.86</v>
      </c>
      <c r="M9" s="141">
        <f t="shared" si="1"/>
        <v>101.16</v>
      </c>
      <c r="N9" s="132">
        <f t="shared" si="2"/>
        <v>83.307599999999994</v>
      </c>
    </row>
    <row r="10" spans="1:14" s="2" customFormat="1" ht="20.100000000000001" customHeight="1" x14ac:dyDescent="0.35">
      <c r="A10" s="40">
        <v>2994</v>
      </c>
      <c r="B10" s="48">
        <v>6</v>
      </c>
      <c r="C10" s="48" t="s">
        <v>455</v>
      </c>
      <c r="D10" s="64" t="s">
        <v>315</v>
      </c>
      <c r="E10" s="60" t="s">
        <v>449</v>
      </c>
      <c r="F10" s="125" t="s">
        <v>461</v>
      </c>
      <c r="G10" s="150">
        <v>19.5</v>
      </c>
      <c r="H10" s="140">
        <v>17.852399999999999</v>
      </c>
      <c r="I10" s="120">
        <v>69.753749999999997</v>
      </c>
      <c r="J10" s="121">
        <v>11.625624999999999</v>
      </c>
      <c r="K10" s="130">
        <v>0</v>
      </c>
      <c r="L10" s="132">
        <f t="shared" si="0"/>
        <v>11.625624999999999</v>
      </c>
      <c r="M10" s="141">
        <f t="shared" si="1"/>
        <v>69.753749999999997</v>
      </c>
      <c r="N10" s="132">
        <f t="shared" si="2"/>
        <v>51.901349999999994</v>
      </c>
    </row>
    <row r="11" spans="1:14" s="2" customFormat="1" ht="20.100000000000001" customHeight="1" x14ac:dyDescent="0.35">
      <c r="A11" s="40">
        <v>2995</v>
      </c>
      <c r="B11" s="48">
        <v>6</v>
      </c>
      <c r="C11" s="48" t="s">
        <v>455</v>
      </c>
      <c r="D11" s="64" t="s">
        <v>315</v>
      </c>
      <c r="E11" s="60" t="s">
        <v>449</v>
      </c>
      <c r="F11" s="125" t="s">
        <v>462</v>
      </c>
      <c r="G11" s="150">
        <v>19.5</v>
      </c>
      <c r="H11" s="140">
        <v>17.852399999999999</v>
      </c>
      <c r="I11" s="120">
        <v>69.753749999999997</v>
      </c>
      <c r="J11" s="121">
        <v>11.625624999999999</v>
      </c>
      <c r="K11" s="130">
        <v>0</v>
      </c>
      <c r="L11" s="132">
        <f t="shared" si="0"/>
        <v>11.625624999999999</v>
      </c>
      <c r="M11" s="141">
        <f t="shared" si="1"/>
        <v>69.753749999999997</v>
      </c>
      <c r="N11" s="132">
        <f t="shared" si="2"/>
        <v>51.901349999999994</v>
      </c>
    </row>
    <row r="12" spans="1:14" s="2" customFormat="1" ht="20.100000000000001" customHeight="1" x14ac:dyDescent="0.35">
      <c r="A12" s="40">
        <v>2996</v>
      </c>
      <c r="B12" s="48">
        <v>6</v>
      </c>
      <c r="C12" s="48" t="s">
        <v>455</v>
      </c>
      <c r="D12" s="64" t="s">
        <v>315</v>
      </c>
      <c r="E12" s="60" t="s">
        <v>449</v>
      </c>
      <c r="F12" s="125" t="s">
        <v>463</v>
      </c>
      <c r="G12" s="150">
        <v>20</v>
      </c>
      <c r="H12" s="140">
        <v>17.852399999999999</v>
      </c>
      <c r="I12" s="120">
        <v>160.2225</v>
      </c>
      <c r="J12" s="121">
        <v>26.703749999999999</v>
      </c>
      <c r="K12" s="130">
        <v>0</v>
      </c>
      <c r="L12" s="132">
        <f t="shared" si="0"/>
        <v>26.703749999999999</v>
      </c>
      <c r="M12" s="141">
        <f t="shared" si="1"/>
        <v>160.2225</v>
      </c>
      <c r="N12" s="132">
        <f t="shared" si="2"/>
        <v>142.37010000000001</v>
      </c>
    </row>
    <row r="13" spans="1:14" s="2" customFormat="1" ht="20.100000000000001" customHeight="1" x14ac:dyDescent="0.35">
      <c r="A13" s="40">
        <v>2997</v>
      </c>
      <c r="B13" s="48">
        <v>6</v>
      </c>
      <c r="C13" s="48" t="s">
        <v>455</v>
      </c>
      <c r="D13" s="64" t="s">
        <v>315</v>
      </c>
      <c r="E13" s="60" t="s">
        <v>449</v>
      </c>
      <c r="F13" s="125" t="s">
        <v>464</v>
      </c>
      <c r="G13" s="150">
        <v>19.5</v>
      </c>
      <c r="H13" s="140">
        <v>17.852399999999999</v>
      </c>
      <c r="I13" s="120">
        <v>69.753749999999997</v>
      </c>
      <c r="J13" s="121">
        <v>11.625624999999999</v>
      </c>
      <c r="K13" s="130">
        <v>0</v>
      </c>
      <c r="L13" s="132">
        <f t="shared" si="0"/>
        <v>11.625624999999999</v>
      </c>
      <c r="M13" s="141">
        <f t="shared" si="1"/>
        <v>69.753749999999997</v>
      </c>
      <c r="N13" s="132">
        <f t="shared" si="2"/>
        <v>51.901349999999994</v>
      </c>
    </row>
    <row r="14" spans="1:14" s="2" customFormat="1" ht="20.100000000000001" customHeight="1" x14ac:dyDescent="0.35">
      <c r="A14" s="40">
        <v>2998</v>
      </c>
      <c r="B14" s="48">
        <v>6</v>
      </c>
      <c r="C14" s="48" t="s">
        <v>455</v>
      </c>
      <c r="D14" s="64" t="s">
        <v>315</v>
      </c>
      <c r="E14" s="60" t="s">
        <v>449</v>
      </c>
      <c r="F14" s="125" t="s">
        <v>465</v>
      </c>
      <c r="G14" s="150">
        <v>19.5</v>
      </c>
      <c r="H14" s="140">
        <v>17.852399999999999</v>
      </c>
      <c r="I14" s="120">
        <v>75.378749999999997</v>
      </c>
      <c r="J14" s="121">
        <v>12.563124999999999</v>
      </c>
      <c r="K14" s="130">
        <v>0</v>
      </c>
      <c r="L14" s="132">
        <f t="shared" si="0"/>
        <v>12.563124999999999</v>
      </c>
      <c r="M14" s="141">
        <f t="shared" si="1"/>
        <v>75.378749999999997</v>
      </c>
      <c r="N14" s="132">
        <f t="shared" si="2"/>
        <v>57.526349999999994</v>
      </c>
    </row>
    <row r="15" spans="1:14" s="2" customFormat="1" ht="20.100000000000001" customHeight="1" x14ac:dyDescent="0.35">
      <c r="A15" s="40" t="s">
        <v>466</v>
      </c>
      <c r="B15" s="48">
        <v>6</v>
      </c>
      <c r="C15" s="48" t="s">
        <v>467</v>
      </c>
      <c r="D15" s="64" t="s">
        <v>2</v>
      </c>
      <c r="E15" s="60" t="s">
        <v>468</v>
      </c>
      <c r="F15" s="125" t="s">
        <v>469</v>
      </c>
      <c r="G15" s="150">
        <v>17.5</v>
      </c>
      <c r="H15" s="140">
        <v>17.852399999999999</v>
      </c>
      <c r="I15" s="120">
        <v>73.14</v>
      </c>
      <c r="J15" s="121">
        <v>12.19</v>
      </c>
      <c r="K15" s="130">
        <v>0</v>
      </c>
      <c r="L15" s="132">
        <f t="shared" si="0"/>
        <v>12.19</v>
      </c>
      <c r="M15" s="141">
        <f t="shared" si="1"/>
        <v>73.14</v>
      </c>
      <c r="N15" s="132">
        <f t="shared" si="2"/>
        <v>55.287599999999998</v>
      </c>
    </row>
    <row r="16" spans="1:14" s="2" customFormat="1" ht="20.100000000000001" customHeight="1" x14ac:dyDescent="0.35">
      <c r="A16" s="40" t="s">
        <v>470</v>
      </c>
      <c r="B16" s="48">
        <v>6</v>
      </c>
      <c r="C16" s="48" t="s">
        <v>467</v>
      </c>
      <c r="D16" s="64" t="s">
        <v>2</v>
      </c>
      <c r="E16" s="60" t="s">
        <v>468</v>
      </c>
      <c r="F16" s="125" t="s">
        <v>471</v>
      </c>
      <c r="G16" s="150">
        <v>17.5</v>
      </c>
      <c r="H16" s="140">
        <v>17.852399999999999</v>
      </c>
      <c r="I16" s="120">
        <v>62.519999999999996</v>
      </c>
      <c r="J16" s="121">
        <v>10.42</v>
      </c>
      <c r="K16" s="130">
        <v>0</v>
      </c>
      <c r="L16" s="132">
        <f t="shared" si="0"/>
        <v>10.42</v>
      </c>
      <c r="M16" s="141">
        <f t="shared" si="1"/>
        <v>62.519999999999996</v>
      </c>
      <c r="N16" s="132">
        <f t="shared" si="2"/>
        <v>44.667599999999993</v>
      </c>
    </row>
    <row r="17" spans="1:14" s="2" customFormat="1" ht="20.100000000000001" customHeight="1" x14ac:dyDescent="0.35">
      <c r="A17" s="40" t="s">
        <v>472</v>
      </c>
      <c r="B17" s="48">
        <v>6</v>
      </c>
      <c r="C17" s="48" t="s">
        <v>467</v>
      </c>
      <c r="D17" s="64" t="s">
        <v>2</v>
      </c>
      <c r="E17" s="60" t="s">
        <v>468</v>
      </c>
      <c r="F17" s="125" t="s">
        <v>473</v>
      </c>
      <c r="G17" s="150">
        <v>15</v>
      </c>
      <c r="H17" s="140">
        <v>13.390649999999999</v>
      </c>
      <c r="I17" s="120">
        <v>49.019999999999996</v>
      </c>
      <c r="J17" s="121">
        <v>8.17</v>
      </c>
      <c r="K17" s="130">
        <v>0</v>
      </c>
      <c r="L17" s="132">
        <f t="shared" si="0"/>
        <v>8.17</v>
      </c>
      <c r="M17" s="141">
        <f t="shared" si="1"/>
        <v>49.019999999999996</v>
      </c>
      <c r="N17" s="132">
        <f t="shared" si="2"/>
        <v>35.629349999999995</v>
      </c>
    </row>
    <row r="18" spans="1:14" s="2" customFormat="1" ht="20.100000000000001" customHeight="1" x14ac:dyDescent="0.35">
      <c r="A18" s="40" t="s">
        <v>474</v>
      </c>
      <c r="B18" s="48">
        <v>6</v>
      </c>
      <c r="C18" s="48" t="s">
        <v>467</v>
      </c>
      <c r="D18" s="64" t="s">
        <v>2</v>
      </c>
      <c r="E18" s="60" t="s">
        <v>468</v>
      </c>
      <c r="F18" s="125" t="s">
        <v>475</v>
      </c>
      <c r="G18" s="150">
        <v>17.5</v>
      </c>
      <c r="H18" s="140">
        <v>17.852399999999999</v>
      </c>
      <c r="I18" s="120">
        <v>62.519999999999996</v>
      </c>
      <c r="J18" s="121">
        <v>10.42</v>
      </c>
      <c r="K18" s="130">
        <v>0</v>
      </c>
      <c r="L18" s="132">
        <f t="shared" si="0"/>
        <v>10.42</v>
      </c>
      <c r="M18" s="141">
        <f t="shared" si="1"/>
        <v>62.519999999999996</v>
      </c>
      <c r="N18" s="132">
        <f t="shared" si="2"/>
        <v>44.667599999999993</v>
      </c>
    </row>
    <row r="19" spans="1:14" s="2" customFormat="1" ht="20.100000000000001" customHeight="1" x14ac:dyDescent="0.35">
      <c r="A19" s="40" t="s">
        <v>476</v>
      </c>
      <c r="B19" s="48">
        <v>12</v>
      </c>
      <c r="C19" s="48" t="s">
        <v>467</v>
      </c>
      <c r="D19" s="64" t="s">
        <v>2</v>
      </c>
      <c r="E19" s="60" t="s">
        <v>468</v>
      </c>
      <c r="F19" s="125" t="s">
        <v>477</v>
      </c>
      <c r="G19" s="150">
        <v>15</v>
      </c>
      <c r="H19" s="140">
        <v>13.390649999999999</v>
      </c>
      <c r="I19" s="120">
        <v>80.039999999999992</v>
      </c>
      <c r="J19" s="121">
        <v>6.67</v>
      </c>
      <c r="K19" s="130">
        <v>0</v>
      </c>
      <c r="L19" s="132">
        <f t="shared" si="0"/>
        <v>6.67</v>
      </c>
      <c r="M19" s="141">
        <f t="shared" si="1"/>
        <v>80.039999999999992</v>
      </c>
      <c r="N19" s="132">
        <f t="shared" si="2"/>
        <v>66.649349999999998</v>
      </c>
    </row>
    <row r="20" spans="1:14" s="2" customFormat="1" ht="20.100000000000001" customHeight="1" x14ac:dyDescent="0.35">
      <c r="A20" s="40" t="s">
        <v>478</v>
      </c>
      <c r="B20" s="48">
        <v>6</v>
      </c>
      <c r="C20" s="48" t="s">
        <v>467</v>
      </c>
      <c r="D20" s="64" t="s">
        <v>2</v>
      </c>
      <c r="E20" s="60" t="s">
        <v>468</v>
      </c>
      <c r="F20" s="125" t="s">
        <v>479</v>
      </c>
      <c r="G20" s="150">
        <v>15</v>
      </c>
      <c r="H20" s="140">
        <v>13.390649999999999</v>
      </c>
      <c r="I20" s="120">
        <v>75.06</v>
      </c>
      <c r="J20" s="121">
        <v>12.51</v>
      </c>
      <c r="K20" s="130">
        <v>0</v>
      </c>
      <c r="L20" s="132">
        <f t="shared" si="0"/>
        <v>12.51</v>
      </c>
      <c r="M20" s="141">
        <f t="shared" si="1"/>
        <v>75.06</v>
      </c>
      <c r="N20" s="132">
        <f t="shared" si="2"/>
        <v>61.669350000000001</v>
      </c>
    </row>
    <row r="21" spans="1:14" s="2" customFormat="1" ht="20.100000000000001" customHeight="1" x14ac:dyDescent="0.35">
      <c r="A21" s="40">
        <v>3395</v>
      </c>
      <c r="B21" s="48">
        <v>6</v>
      </c>
      <c r="C21" s="48" t="s">
        <v>467</v>
      </c>
      <c r="D21" s="64" t="s">
        <v>2</v>
      </c>
      <c r="E21" s="60" t="s">
        <v>468</v>
      </c>
      <c r="F21" s="125" t="s">
        <v>480</v>
      </c>
      <c r="G21" s="150">
        <v>17.5</v>
      </c>
      <c r="H21" s="140">
        <v>13.390649999999999</v>
      </c>
      <c r="I21" s="120">
        <v>249.95999999999998</v>
      </c>
      <c r="J21" s="121">
        <v>41.66</v>
      </c>
      <c r="K21" s="130">
        <v>0</v>
      </c>
      <c r="L21" s="132">
        <f t="shared" si="0"/>
        <v>41.66</v>
      </c>
      <c r="M21" s="141">
        <f t="shared" si="1"/>
        <v>249.95999999999998</v>
      </c>
      <c r="N21" s="132">
        <f t="shared" si="2"/>
        <v>236.56934999999999</v>
      </c>
    </row>
    <row r="22" spans="1:14" s="2" customFormat="1" ht="20.100000000000001" customHeight="1" x14ac:dyDescent="0.35">
      <c r="A22" s="40">
        <v>3381</v>
      </c>
      <c r="B22" s="48">
        <v>6</v>
      </c>
      <c r="C22" s="48" t="s">
        <v>467</v>
      </c>
      <c r="D22" s="64" t="s">
        <v>2</v>
      </c>
      <c r="E22" s="60" t="s">
        <v>468</v>
      </c>
      <c r="F22" s="125" t="s">
        <v>481</v>
      </c>
      <c r="G22" s="150">
        <v>17.5</v>
      </c>
      <c r="H22" s="140">
        <v>17.852399999999999</v>
      </c>
      <c r="I22" s="120">
        <v>141.66</v>
      </c>
      <c r="J22" s="121">
        <v>23.61</v>
      </c>
      <c r="K22" s="130">
        <v>0</v>
      </c>
      <c r="L22" s="132">
        <f t="shared" si="0"/>
        <v>23.61</v>
      </c>
      <c r="M22" s="141">
        <f t="shared" si="1"/>
        <v>141.66</v>
      </c>
      <c r="N22" s="132">
        <f t="shared" si="2"/>
        <v>123.80759999999999</v>
      </c>
    </row>
    <row r="23" spans="1:14" s="2" customFormat="1" ht="20.100000000000001" customHeight="1" x14ac:dyDescent="0.35">
      <c r="A23" s="40">
        <v>3383</v>
      </c>
      <c r="B23" s="48">
        <v>6</v>
      </c>
      <c r="C23" s="48" t="s">
        <v>467</v>
      </c>
      <c r="D23" s="64" t="s">
        <v>2</v>
      </c>
      <c r="E23" s="60" t="s">
        <v>468</v>
      </c>
      <c r="F23" s="125" t="s">
        <v>482</v>
      </c>
      <c r="G23" s="150">
        <v>17.5</v>
      </c>
      <c r="H23" s="140">
        <v>17.852399999999999</v>
      </c>
      <c r="I23" s="120">
        <v>116.22</v>
      </c>
      <c r="J23" s="121">
        <v>19.37</v>
      </c>
      <c r="K23" s="130">
        <v>0</v>
      </c>
      <c r="L23" s="132">
        <f t="shared" si="0"/>
        <v>19.37</v>
      </c>
      <c r="M23" s="141">
        <f t="shared" si="1"/>
        <v>116.22</v>
      </c>
      <c r="N23" s="132">
        <f t="shared" si="2"/>
        <v>98.367599999999996</v>
      </c>
    </row>
    <row r="24" spans="1:14" s="2" customFormat="1" ht="20.100000000000001" customHeight="1" x14ac:dyDescent="0.35">
      <c r="A24" s="40">
        <v>3385</v>
      </c>
      <c r="B24" s="48">
        <v>6</v>
      </c>
      <c r="C24" s="48" t="s">
        <v>467</v>
      </c>
      <c r="D24" s="64" t="s">
        <v>2</v>
      </c>
      <c r="E24" s="60" t="s">
        <v>468</v>
      </c>
      <c r="F24" s="125" t="s">
        <v>483</v>
      </c>
      <c r="G24" s="150">
        <v>15</v>
      </c>
      <c r="H24" s="140">
        <v>13.390649999999999</v>
      </c>
      <c r="I24" s="120">
        <v>108.72</v>
      </c>
      <c r="J24" s="121">
        <v>18.12</v>
      </c>
      <c r="K24" s="130">
        <v>0</v>
      </c>
      <c r="L24" s="132">
        <f t="shared" si="0"/>
        <v>18.12</v>
      </c>
      <c r="M24" s="141">
        <f t="shared" si="1"/>
        <v>108.72</v>
      </c>
      <c r="N24" s="132">
        <f t="shared" si="2"/>
        <v>95.329350000000005</v>
      </c>
    </row>
    <row r="25" spans="1:14" ht="20.100000000000001" customHeight="1" x14ac:dyDescent="0.35">
      <c r="A25" s="40" t="s">
        <v>484</v>
      </c>
      <c r="B25" s="48">
        <v>12</v>
      </c>
      <c r="C25" s="48" t="s">
        <v>467</v>
      </c>
      <c r="D25" s="64" t="s">
        <v>2</v>
      </c>
      <c r="E25" s="60" t="s">
        <v>485</v>
      </c>
      <c r="F25" s="125" t="s">
        <v>486</v>
      </c>
      <c r="G25" s="150">
        <v>15</v>
      </c>
      <c r="H25" s="140">
        <v>13.390649999999999</v>
      </c>
      <c r="I25" s="120">
        <v>55.679999999999993</v>
      </c>
      <c r="J25" s="121">
        <v>4.6399999999999997</v>
      </c>
      <c r="K25" s="130">
        <v>0</v>
      </c>
      <c r="L25" s="132">
        <f t="shared" si="0"/>
        <v>4.6399999999999997</v>
      </c>
      <c r="M25" s="141">
        <f t="shared" si="1"/>
        <v>55.679999999999993</v>
      </c>
      <c r="N25" s="132">
        <f t="shared" si="2"/>
        <v>42.289349999999992</v>
      </c>
    </row>
    <row r="26" spans="1:14" ht="20.100000000000001" customHeight="1" x14ac:dyDescent="0.35">
      <c r="A26" s="40" t="s">
        <v>487</v>
      </c>
      <c r="B26" s="48">
        <v>6</v>
      </c>
      <c r="C26" s="48" t="s">
        <v>467</v>
      </c>
      <c r="D26" s="64" t="s">
        <v>2</v>
      </c>
      <c r="E26" s="60" t="s">
        <v>485</v>
      </c>
      <c r="F26" s="125" t="s">
        <v>488</v>
      </c>
      <c r="G26" s="150">
        <v>15</v>
      </c>
      <c r="H26" s="140">
        <v>13.390649999999999</v>
      </c>
      <c r="I26" s="120">
        <v>49.019999999999996</v>
      </c>
      <c r="J26" s="121">
        <v>8.17</v>
      </c>
      <c r="K26" s="130">
        <v>0</v>
      </c>
      <c r="L26" s="132">
        <f t="shared" si="0"/>
        <v>8.17</v>
      </c>
      <c r="M26" s="141">
        <f t="shared" si="1"/>
        <v>49.019999999999996</v>
      </c>
      <c r="N26" s="132">
        <f t="shared" si="2"/>
        <v>35.629349999999995</v>
      </c>
    </row>
    <row r="27" spans="1:14" ht="20.100000000000001" customHeight="1" x14ac:dyDescent="0.35">
      <c r="A27" s="40">
        <v>3394</v>
      </c>
      <c r="B27" s="48">
        <v>6</v>
      </c>
      <c r="C27" s="48" t="s">
        <v>467</v>
      </c>
      <c r="D27" s="64" t="s">
        <v>2</v>
      </c>
      <c r="E27" s="60" t="s">
        <v>485</v>
      </c>
      <c r="F27" s="125" t="s">
        <v>489</v>
      </c>
      <c r="G27" s="150">
        <v>15</v>
      </c>
      <c r="H27" s="140">
        <v>13.390649999999999</v>
      </c>
      <c r="I27" s="120">
        <v>97.56</v>
      </c>
      <c r="J27" s="121">
        <v>16.260000000000002</v>
      </c>
      <c r="K27" s="130">
        <v>0</v>
      </c>
      <c r="L27" s="132">
        <f t="shared" si="0"/>
        <v>16.260000000000002</v>
      </c>
      <c r="M27" s="141">
        <f t="shared" si="1"/>
        <v>97.56</v>
      </c>
      <c r="N27" s="132">
        <f t="shared" si="2"/>
        <v>84.169350000000009</v>
      </c>
    </row>
    <row r="28" spans="1:14" s="2" customFormat="1" ht="20.100000000000001" customHeight="1" x14ac:dyDescent="0.35">
      <c r="A28" s="40" t="s">
        <v>490</v>
      </c>
      <c r="B28" s="48">
        <v>12</v>
      </c>
      <c r="C28" s="48" t="s">
        <v>467</v>
      </c>
      <c r="D28" s="64" t="s">
        <v>2</v>
      </c>
      <c r="E28" s="60" t="s">
        <v>485</v>
      </c>
      <c r="F28" s="125" t="s">
        <v>491</v>
      </c>
      <c r="G28" s="150">
        <v>15</v>
      </c>
      <c r="H28" s="140">
        <v>13.390649999999999</v>
      </c>
      <c r="I28" s="120">
        <v>81.36</v>
      </c>
      <c r="J28" s="121">
        <v>6.78</v>
      </c>
      <c r="K28" s="130">
        <v>0</v>
      </c>
      <c r="L28" s="132">
        <f t="shared" si="0"/>
        <v>6.78</v>
      </c>
      <c r="M28" s="141">
        <f t="shared" si="1"/>
        <v>81.36</v>
      </c>
      <c r="N28" s="132">
        <f t="shared" si="2"/>
        <v>67.969350000000006</v>
      </c>
    </row>
    <row r="29" spans="1:14" s="2" customFormat="1" ht="20.100000000000001" customHeight="1" x14ac:dyDescent="0.35">
      <c r="A29" s="40">
        <v>3384</v>
      </c>
      <c r="B29" s="48">
        <v>6</v>
      </c>
      <c r="C29" s="48" t="s">
        <v>467</v>
      </c>
      <c r="D29" s="64" t="s">
        <v>2</v>
      </c>
      <c r="E29" s="60" t="s">
        <v>485</v>
      </c>
      <c r="F29" s="125" t="s">
        <v>492</v>
      </c>
      <c r="G29" s="150">
        <v>15</v>
      </c>
      <c r="H29" s="140">
        <v>13.390649999999999</v>
      </c>
      <c r="I29" s="120">
        <v>89.16</v>
      </c>
      <c r="J29" s="121">
        <v>14.86</v>
      </c>
      <c r="K29" s="130">
        <v>0</v>
      </c>
      <c r="L29" s="132">
        <f t="shared" si="0"/>
        <v>14.86</v>
      </c>
      <c r="M29" s="141">
        <f t="shared" si="1"/>
        <v>89.16</v>
      </c>
      <c r="N29" s="132">
        <f t="shared" si="2"/>
        <v>75.769350000000003</v>
      </c>
    </row>
    <row r="30" spans="1:14" s="2" customFormat="1" ht="20.100000000000001" customHeight="1" x14ac:dyDescent="0.35">
      <c r="A30" s="40">
        <v>3386</v>
      </c>
      <c r="B30" s="48">
        <v>6</v>
      </c>
      <c r="C30" s="48" t="s">
        <v>467</v>
      </c>
      <c r="D30" s="64" t="s">
        <v>2</v>
      </c>
      <c r="E30" s="60" t="s">
        <v>485</v>
      </c>
      <c r="F30" s="125" t="s">
        <v>493</v>
      </c>
      <c r="G30" s="150">
        <v>15</v>
      </c>
      <c r="H30" s="140">
        <v>13.390649999999999</v>
      </c>
      <c r="I30" s="120">
        <v>64.800000000000011</v>
      </c>
      <c r="J30" s="121">
        <v>10.8</v>
      </c>
      <c r="K30" s="130">
        <v>0</v>
      </c>
      <c r="L30" s="132">
        <f t="shared" si="0"/>
        <v>10.8</v>
      </c>
      <c r="M30" s="141">
        <f t="shared" si="1"/>
        <v>64.800000000000011</v>
      </c>
      <c r="N30" s="132">
        <f t="shared" si="2"/>
        <v>51.409350000000011</v>
      </c>
    </row>
    <row r="31" spans="1:14" s="2" customFormat="1" ht="20.100000000000001" customHeight="1" x14ac:dyDescent="0.35">
      <c r="A31" s="40">
        <v>2959</v>
      </c>
      <c r="B31" s="48">
        <v>6</v>
      </c>
      <c r="C31" s="48" t="s">
        <v>494</v>
      </c>
      <c r="D31" s="64" t="s">
        <v>2</v>
      </c>
      <c r="E31" s="60" t="s">
        <v>495</v>
      </c>
      <c r="F31" s="125" t="s">
        <v>496</v>
      </c>
      <c r="G31" s="150">
        <v>15</v>
      </c>
      <c r="H31" s="140">
        <v>17.854199999999999</v>
      </c>
      <c r="I31" s="120">
        <v>115.08</v>
      </c>
      <c r="J31" s="121">
        <v>19.18</v>
      </c>
      <c r="K31" s="130">
        <v>0</v>
      </c>
      <c r="L31" s="132">
        <f t="shared" si="0"/>
        <v>19.18</v>
      </c>
      <c r="M31" s="141">
        <f t="shared" si="1"/>
        <v>115.08</v>
      </c>
      <c r="N31" s="132">
        <f t="shared" si="2"/>
        <v>97.225799999999992</v>
      </c>
    </row>
    <row r="32" spans="1:14" s="2" customFormat="1" ht="20.100000000000001" customHeight="1" x14ac:dyDescent="0.35">
      <c r="A32" s="40">
        <v>2955</v>
      </c>
      <c r="B32" s="48">
        <v>6</v>
      </c>
      <c r="C32" s="48" t="s">
        <v>494</v>
      </c>
      <c r="D32" s="64" t="s">
        <v>2</v>
      </c>
      <c r="E32" s="60" t="s">
        <v>497</v>
      </c>
      <c r="F32" s="125" t="s">
        <v>498</v>
      </c>
      <c r="G32" s="150">
        <v>18</v>
      </c>
      <c r="H32" s="140">
        <v>17.852399999999999</v>
      </c>
      <c r="I32" s="120">
        <v>75.78</v>
      </c>
      <c r="J32" s="121">
        <v>12.63</v>
      </c>
      <c r="K32" s="130">
        <v>0</v>
      </c>
      <c r="L32" s="132">
        <f t="shared" si="0"/>
        <v>12.63</v>
      </c>
      <c r="M32" s="141">
        <f t="shared" si="1"/>
        <v>75.78</v>
      </c>
      <c r="N32" s="132">
        <f t="shared" si="2"/>
        <v>57.927599999999998</v>
      </c>
    </row>
  </sheetData>
  <sheetProtection selectLockedCells="1" selectUnlockedCells="1"/>
  <autoFilter ref="A3:N3" xr:uid="{00000000-0009-0000-0000-000002000000}"/>
  <mergeCells count="14">
    <mergeCell ref="A1:A2"/>
    <mergeCell ref="B1:B2"/>
    <mergeCell ref="K1:K2"/>
    <mergeCell ref="E1:E2"/>
    <mergeCell ref="F1:F2"/>
    <mergeCell ref="G1:G2"/>
    <mergeCell ref="J1:J2"/>
    <mergeCell ref="I1:I2"/>
    <mergeCell ref="H1:H2"/>
    <mergeCell ref="M1:M2"/>
    <mergeCell ref="N1:N2"/>
    <mergeCell ref="L1:L2"/>
    <mergeCell ref="C1:C2"/>
    <mergeCell ref="D1:D2"/>
  </mergeCells>
  <phoneticPr fontId="17" type="noConversion"/>
  <pageMargins left="0.7" right="0.7" top="0.75" bottom="0.75" header="0.51180555555555551" footer="0.511805555555555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showGridLines="0" zoomScale="80" zoomScaleNormal="80" zoomScaleSheetLayoutView="75" workbookViewId="0">
      <pane ySplit="3" topLeftCell="A4" activePane="bottomLeft" state="frozen"/>
      <selection activeCell="A7" sqref="A7"/>
      <selection pane="bottomLeft" activeCell="F15" sqref="F14:F15"/>
    </sheetView>
  </sheetViews>
  <sheetFormatPr defaultColWidth="8.41015625" defaultRowHeight="20.100000000000001" customHeight="1" x14ac:dyDescent="0.35"/>
  <cols>
    <col min="1" max="1" width="8.703125" style="44" customWidth="1"/>
    <col min="2" max="3" width="8.703125" style="57" customWidth="1"/>
    <col min="4" max="4" width="15.703125" style="63" customWidth="1"/>
    <col min="5" max="5" width="20.703125" style="63" customWidth="1"/>
    <col min="6" max="6" width="60.703125" style="69" customWidth="1"/>
    <col min="7" max="8" width="8.703125" style="127" customWidth="1"/>
    <col min="9" max="9" width="10.703125" style="24" customWidth="1"/>
    <col min="10" max="10" width="10.703125" style="25" customWidth="1"/>
    <col min="11" max="14" width="10.703125" style="2" customWidth="1"/>
    <col min="15" max="16384" width="8.41015625" style="2"/>
  </cols>
  <sheetData>
    <row r="1" spans="1:14" s="4" customFormat="1" ht="20.100000000000001" customHeight="1" x14ac:dyDescent="0.35">
      <c r="A1" s="155" t="s">
        <v>10</v>
      </c>
      <c r="B1" s="152" t="s">
        <v>92</v>
      </c>
      <c r="C1" s="152" t="s">
        <v>63</v>
      </c>
      <c r="D1" s="155" t="s">
        <v>11</v>
      </c>
      <c r="E1" s="155" t="s">
        <v>12</v>
      </c>
      <c r="F1" s="157" t="s">
        <v>14</v>
      </c>
      <c r="G1" s="177" t="s">
        <v>99</v>
      </c>
      <c r="H1" s="175" t="s">
        <v>95</v>
      </c>
      <c r="I1" s="152" t="s">
        <v>90</v>
      </c>
      <c r="J1" s="152" t="s">
        <v>91</v>
      </c>
      <c r="K1" s="152" t="s">
        <v>93</v>
      </c>
      <c r="L1" s="152" t="s">
        <v>94</v>
      </c>
      <c r="M1" s="152" t="s">
        <v>96</v>
      </c>
      <c r="N1" s="152" t="s">
        <v>97</v>
      </c>
    </row>
    <row r="2" spans="1:14" s="4" customFormat="1" ht="20.100000000000001" customHeight="1" x14ac:dyDescent="0.35">
      <c r="A2" s="162"/>
      <c r="B2" s="153"/>
      <c r="C2" s="153"/>
      <c r="D2" s="162"/>
      <c r="E2" s="162"/>
      <c r="F2" s="174"/>
      <c r="G2" s="178"/>
      <c r="H2" s="176"/>
      <c r="I2" s="153"/>
      <c r="J2" s="153"/>
      <c r="K2" s="153"/>
      <c r="L2" s="153"/>
      <c r="M2" s="153"/>
      <c r="N2" s="153"/>
    </row>
    <row r="3" spans="1:14" s="5" customFormat="1" ht="20.100000000000001" customHeight="1" x14ac:dyDescent="0.35">
      <c r="A3" s="72"/>
      <c r="B3" s="73"/>
      <c r="C3" s="75"/>
      <c r="D3" s="77"/>
      <c r="E3" s="77"/>
      <c r="F3" s="86"/>
      <c r="G3" s="126"/>
      <c r="H3" s="126"/>
      <c r="I3" s="79"/>
      <c r="J3" s="80"/>
      <c r="K3" s="129"/>
      <c r="L3" s="129"/>
      <c r="M3" s="129"/>
      <c r="N3" s="129"/>
    </row>
    <row r="4" spans="1:14" s="8" customFormat="1" ht="20.100000000000001" customHeight="1" x14ac:dyDescent="0.35">
      <c r="A4" s="41">
        <v>0</v>
      </c>
      <c r="B4" s="48">
        <v>6</v>
      </c>
      <c r="C4" s="50" t="s">
        <v>499</v>
      </c>
      <c r="D4" s="61" t="s">
        <v>2</v>
      </c>
      <c r="E4" s="128">
        <v>0</v>
      </c>
      <c r="F4" s="66" t="s">
        <v>500</v>
      </c>
      <c r="G4" s="151">
        <v>37.5</v>
      </c>
      <c r="H4" s="142">
        <v>45.265499999999996</v>
      </c>
      <c r="I4" s="118">
        <v>105</v>
      </c>
      <c r="J4" s="119">
        <v>17.5</v>
      </c>
      <c r="K4" s="130">
        <v>0</v>
      </c>
      <c r="L4" s="132">
        <f t="shared" ref="L4:L23" si="0">SUM(J4*(1-K4))</f>
        <v>17.5</v>
      </c>
      <c r="M4" s="141">
        <f t="shared" ref="M4:M23" si="1">L4*B4</f>
        <v>105</v>
      </c>
      <c r="N4" s="132">
        <f t="shared" ref="N4:N23" si="2">M4-H4</f>
        <v>59.734500000000004</v>
      </c>
    </row>
    <row r="5" spans="1:14" s="8" customFormat="1" ht="20.100000000000001" customHeight="1" x14ac:dyDescent="0.35">
      <c r="A5" s="41">
        <v>2925</v>
      </c>
      <c r="B5" s="48">
        <v>6</v>
      </c>
      <c r="C5" s="50" t="s">
        <v>499</v>
      </c>
      <c r="D5" s="61" t="s">
        <v>2</v>
      </c>
      <c r="E5" s="128">
        <v>0</v>
      </c>
      <c r="F5" s="66" t="s">
        <v>501</v>
      </c>
      <c r="G5" s="151">
        <v>37.5</v>
      </c>
      <c r="H5" s="142">
        <v>45.265499999999996</v>
      </c>
      <c r="I5" s="118">
        <v>97.32</v>
      </c>
      <c r="J5" s="119">
        <v>16.22</v>
      </c>
      <c r="K5" s="130">
        <v>0</v>
      </c>
      <c r="L5" s="132">
        <f t="shared" si="0"/>
        <v>16.22</v>
      </c>
      <c r="M5" s="141">
        <f t="shared" si="1"/>
        <v>97.32</v>
      </c>
      <c r="N5" s="132">
        <f t="shared" si="2"/>
        <v>52.054499999999997</v>
      </c>
    </row>
    <row r="6" spans="1:14" s="8" customFormat="1" ht="20.100000000000001" customHeight="1" x14ac:dyDescent="0.35">
      <c r="A6" s="41">
        <v>2926</v>
      </c>
      <c r="B6" s="48">
        <v>6</v>
      </c>
      <c r="C6" s="50" t="s">
        <v>499</v>
      </c>
      <c r="D6" s="61" t="s">
        <v>2</v>
      </c>
      <c r="E6" s="128">
        <v>0</v>
      </c>
      <c r="F6" s="66" t="s">
        <v>502</v>
      </c>
      <c r="G6" s="151">
        <v>44</v>
      </c>
      <c r="H6" s="142">
        <v>53.111519999999999</v>
      </c>
      <c r="I6" s="118">
        <v>152.10000000000002</v>
      </c>
      <c r="J6" s="119">
        <v>25.35</v>
      </c>
      <c r="K6" s="130">
        <v>0</v>
      </c>
      <c r="L6" s="132">
        <f t="shared" si="0"/>
        <v>25.35</v>
      </c>
      <c r="M6" s="141">
        <f t="shared" si="1"/>
        <v>152.10000000000002</v>
      </c>
      <c r="N6" s="132">
        <f t="shared" si="2"/>
        <v>98.988480000000024</v>
      </c>
    </row>
    <row r="7" spans="1:14" s="8" customFormat="1" ht="20.100000000000001" customHeight="1" x14ac:dyDescent="0.35">
      <c r="A7" s="41">
        <v>2927</v>
      </c>
      <c r="B7" s="48">
        <v>6</v>
      </c>
      <c r="C7" s="50" t="s">
        <v>499</v>
      </c>
      <c r="D7" s="61" t="s">
        <v>2</v>
      </c>
      <c r="E7" s="128">
        <v>0</v>
      </c>
      <c r="F7" s="66" t="s">
        <v>503</v>
      </c>
      <c r="G7" s="151">
        <v>40</v>
      </c>
      <c r="H7" s="142">
        <v>48.283199999999994</v>
      </c>
      <c r="I7" s="118">
        <v>170.57999999999998</v>
      </c>
      <c r="J7" s="119">
        <v>28.43</v>
      </c>
      <c r="K7" s="130">
        <v>0</v>
      </c>
      <c r="L7" s="132">
        <f t="shared" si="0"/>
        <v>28.43</v>
      </c>
      <c r="M7" s="141">
        <f t="shared" si="1"/>
        <v>170.57999999999998</v>
      </c>
      <c r="N7" s="132">
        <f t="shared" si="2"/>
        <v>122.29679999999999</v>
      </c>
    </row>
    <row r="8" spans="1:14" s="8" customFormat="1" ht="20.100000000000001" customHeight="1" x14ac:dyDescent="0.35">
      <c r="A8" s="41">
        <v>2928</v>
      </c>
      <c r="B8" s="48">
        <v>4</v>
      </c>
      <c r="C8" s="50" t="s">
        <v>499</v>
      </c>
      <c r="D8" s="61" t="s">
        <v>2</v>
      </c>
      <c r="E8" s="128">
        <v>0</v>
      </c>
      <c r="F8" s="66" t="s">
        <v>504</v>
      </c>
      <c r="G8" s="151">
        <v>42</v>
      </c>
      <c r="H8" s="142">
        <v>33.798239999999993</v>
      </c>
      <c r="I8" s="118">
        <v>121.84</v>
      </c>
      <c r="J8" s="119">
        <v>30.46</v>
      </c>
      <c r="K8" s="130">
        <v>0</v>
      </c>
      <c r="L8" s="132">
        <f t="shared" si="0"/>
        <v>30.46</v>
      </c>
      <c r="M8" s="141">
        <f t="shared" si="1"/>
        <v>121.84</v>
      </c>
      <c r="N8" s="132">
        <f t="shared" si="2"/>
        <v>88.041760000000011</v>
      </c>
    </row>
    <row r="9" spans="1:14" s="8" customFormat="1" ht="20.100000000000001" customHeight="1" x14ac:dyDescent="0.35">
      <c r="A9" s="41">
        <v>2929</v>
      </c>
      <c r="B9" s="48">
        <v>6</v>
      </c>
      <c r="C9" s="50" t="s">
        <v>499</v>
      </c>
      <c r="D9" s="61" t="s">
        <v>2</v>
      </c>
      <c r="E9" s="128">
        <v>0</v>
      </c>
      <c r="F9" s="66" t="s">
        <v>505</v>
      </c>
      <c r="G9" s="151">
        <v>40</v>
      </c>
      <c r="H9" s="142">
        <v>48.283199999999994</v>
      </c>
      <c r="I9" s="118">
        <v>194.94</v>
      </c>
      <c r="J9" s="119">
        <v>32.49</v>
      </c>
      <c r="K9" s="130">
        <v>0</v>
      </c>
      <c r="L9" s="132">
        <f t="shared" si="0"/>
        <v>32.49</v>
      </c>
      <c r="M9" s="141">
        <f t="shared" si="1"/>
        <v>194.94</v>
      </c>
      <c r="N9" s="132">
        <f t="shared" si="2"/>
        <v>146.6568</v>
      </c>
    </row>
    <row r="10" spans="1:14" s="8" customFormat="1" ht="20.100000000000001" customHeight="1" x14ac:dyDescent="0.35">
      <c r="A10" s="41" t="s">
        <v>506</v>
      </c>
      <c r="B10" s="48">
        <v>6</v>
      </c>
      <c r="C10" s="50" t="s">
        <v>499</v>
      </c>
      <c r="D10" s="61" t="s">
        <v>2</v>
      </c>
      <c r="E10" s="128">
        <v>0</v>
      </c>
      <c r="F10" s="66" t="s">
        <v>507</v>
      </c>
      <c r="G10" s="151">
        <v>37.5</v>
      </c>
      <c r="H10" s="142">
        <v>45.265499999999996</v>
      </c>
      <c r="I10" s="118">
        <v>188.82</v>
      </c>
      <c r="J10" s="119">
        <v>31.47</v>
      </c>
      <c r="K10" s="130">
        <v>0</v>
      </c>
      <c r="L10" s="132">
        <f t="shared" si="0"/>
        <v>31.47</v>
      </c>
      <c r="M10" s="141">
        <f t="shared" si="1"/>
        <v>188.82</v>
      </c>
      <c r="N10" s="132">
        <f t="shared" si="2"/>
        <v>143.55449999999999</v>
      </c>
    </row>
    <row r="11" spans="1:14" s="8" customFormat="1" ht="20.100000000000001" customHeight="1" x14ac:dyDescent="0.35">
      <c r="A11" s="41">
        <v>2924</v>
      </c>
      <c r="B11" s="48">
        <v>6</v>
      </c>
      <c r="C11" s="50" t="s">
        <v>499</v>
      </c>
      <c r="D11" s="61" t="s">
        <v>2</v>
      </c>
      <c r="E11" s="128">
        <v>0</v>
      </c>
      <c r="F11" s="66" t="s">
        <v>508</v>
      </c>
      <c r="G11" s="151">
        <v>42</v>
      </c>
      <c r="H11" s="142">
        <v>50.697359999999996</v>
      </c>
      <c r="I11" s="118">
        <v>164.39999999999998</v>
      </c>
      <c r="J11" s="119">
        <v>27.4</v>
      </c>
      <c r="K11" s="130">
        <v>0</v>
      </c>
      <c r="L11" s="132">
        <f t="shared" si="0"/>
        <v>27.4</v>
      </c>
      <c r="M11" s="141">
        <f t="shared" si="1"/>
        <v>164.39999999999998</v>
      </c>
      <c r="N11" s="132">
        <f t="shared" si="2"/>
        <v>113.70263999999997</v>
      </c>
    </row>
    <row r="12" spans="1:14" s="8" customFormat="1" ht="20.100000000000001" customHeight="1" x14ac:dyDescent="0.35">
      <c r="A12" s="41" t="s">
        <v>509</v>
      </c>
      <c r="B12" s="48">
        <v>6</v>
      </c>
      <c r="C12" s="50" t="s">
        <v>510</v>
      </c>
      <c r="D12" s="61" t="s">
        <v>2</v>
      </c>
      <c r="E12" s="128">
        <v>0</v>
      </c>
      <c r="F12" s="66" t="s">
        <v>511</v>
      </c>
      <c r="G12" s="151">
        <v>25</v>
      </c>
      <c r="H12" s="142">
        <v>30.177</v>
      </c>
      <c r="I12" s="118">
        <v>96.899999999999991</v>
      </c>
      <c r="J12" s="119">
        <v>16.149999999999999</v>
      </c>
      <c r="K12" s="130">
        <v>0</v>
      </c>
      <c r="L12" s="132">
        <f t="shared" si="0"/>
        <v>16.149999999999999</v>
      </c>
      <c r="M12" s="141">
        <f t="shared" si="1"/>
        <v>96.899999999999991</v>
      </c>
      <c r="N12" s="132">
        <f t="shared" si="2"/>
        <v>66.722999999999985</v>
      </c>
    </row>
    <row r="13" spans="1:14" s="8" customFormat="1" ht="20.100000000000001" customHeight="1" x14ac:dyDescent="0.35">
      <c r="A13" s="41">
        <v>2937</v>
      </c>
      <c r="B13" s="48">
        <v>6</v>
      </c>
      <c r="C13" s="50" t="s">
        <v>510</v>
      </c>
      <c r="D13" s="61" t="s">
        <v>2</v>
      </c>
      <c r="E13" s="128">
        <v>0</v>
      </c>
      <c r="F13" s="66" t="s">
        <v>512</v>
      </c>
      <c r="G13" s="151">
        <v>25</v>
      </c>
      <c r="H13" s="142">
        <v>43.11</v>
      </c>
      <c r="I13" s="118">
        <v>110.22</v>
      </c>
      <c r="J13" s="119">
        <v>18.37</v>
      </c>
      <c r="K13" s="130">
        <v>0</v>
      </c>
      <c r="L13" s="132">
        <f t="shared" si="0"/>
        <v>18.37</v>
      </c>
      <c r="M13" s="141">
        <f t="shared" si="1"/>
        <v>110.22</v>
      </c>
      <c r="N13" s="132">
        <f t="shared" si="2"/>
        <v>67.11</v>
      </c>
    </row>
    <row r="14" spans="1:14" s="8" customFormat="1" ht="20.100000000000001" customHeight="1" x14ac:dyDescent="0.35">
      <c r="A14" s="41">
        <v>2946</v>
      </c>
      <c r="B14" s="48">
        <v>6</v>
      </c>
      <c r="C14" s="50" t="s">
        <v>510</v>
      </c>
      <c r="D14" s="61" t="s">
        <v>2</v>
      </c>
      <c r="E14" s="128">
        <v>0</v>
      </c>
      <c r="F14" s="66" t="s">
        <v>513</v>
      </c>
      <c r="G14" s="151">
        <v>36</v>
      </c>
      <c r="H14" s="142">
        <v>43.454879999999996</v>
      </c>
      <c r="I14" s="118">
        <v>123.12</v>
      </c>
      <c r="J14" s="119">
        <v>20.52</v>
      </c>
      <c r="K14" s="130">
        <v>0</v>
      </c>
      <c r="L14" s="132">
        <f t="shared" si="0"/>
        <v>20.52</v>
      </c>
      <c r="M14" s="141">
        <f t="shared" si="1"/>
        <v>123.12</v>
      </c>
      <c r="N14" s="132">
        <f t="shared" si="2"/>
        <v>79.665120000000002</v>
      </c>
    </row>
    <row r="15" spans="1:14" s="8" customFormat="1" ht="20.100000000000001" customHeight="1" x14ac:dyDescent="0.35">
      <c r="A15" s="41" t="s">
        <v>514</v>
      </c>
      <c r="B15" s="48">
        <v>6</v>
      </c>
      <c r="C15" s="50" t="s">
        <v>515</v>
      </c>
      <c r="D15" s="61" t="s">
        <v>2</v>
      </c>
      <c r="E15" s="128">
        <v>0</v>
      </c>
      <c r="F15" s="66" t="s">
        <v>516</v>
      </c>
      <c r="G15" s="151">
        <v>18</v>
      </c>
      <c r="H15" s="142">
        <v>21.727439999999998</v>
      </c>
      <c r="I15" s="118">
        <v>66.960000000000008</v>
      </c>
      <c r="J15" s="119">
        <v>11.16</v>
      </c>
      <c r="K15" s="130">
        <v>0</v>
      </c>
      <c r="L15" s="132">
        <f t="shared" si="0"/>
        <v>11.16</v>
      </c>
      <c r="M15" s="141">
        <f t="shared" si="1"/>
        <v>66.960000000000008</v>
      </c>
      <c r="N15" s="132">
        <f t="shared" si="2"/>
        <v>45.232560000000007</v>
      </c>
    </row>
    <row r="16" spans="1:14" s="8" customFormat="1" ht="20.100000000000001" customHeight="1" x14ac:dyDescent="0.35">
      <c r="A16" s="41" t="s">
        <v>517</v>
      </c>
      <c r="B16" s="48">
        <v>6</v>
      </c>
      <c r="C16" s="50" t="s">
        <v>515</v>
      </c>
      <c r="D16" s="61" t="s">
        <v>2</v>
      </c>
      <c r="E16" s="128">
        <v>0</v>
      </c>
      <c r="F16" s="66" t="s">
        <v>518</v>
      </c>
      <c r="G16" s="151">
        <v>18</v>
      </c>
      <c r="H16" s="142">
        <v>21.727439999999998</v>
      </c>
      <c r="I16" s="118">
        <v>73.800000000000011</v>
      </c>
      <c r="J16" s="119">
        <v>12.3</v>
      </c>
      <c r="K16" s="130">
        <v>0</v>
      </c>
      <c r="L16" s="132">
        <f t="shared" si="0"/>
        <v>12.3</v>
      </c>
      <c r="M16" s="141">
        <f t="shared" si="1"/>
        <v>73.800000000000011</v>
      </c>
      <c r="N16" s="132">
        <f t="shared" si="2"/>
        <v>52.07256000000001</v>
      </c>
    </row>
    <row r="17" spans="1:14" s="8" customFormat="1" ht="20.100000000000001" customHeight="1" x14ac:dyDescent="0.35">
      <c r="A17" s="41" t="s">
        <v>519</v>
      </c>
      <c r="B17" s="48">
        <v>6</v>
      </c>
      <c r="C17" s="50" t="s">
        <v>515</v>
      </c>
      <c r="D17" s="61" t="s">
        <v>2</v>
      </c>
      <c r="E17" s="128">
        <v>0</v>
      </c>
      <c r="F17" s="66" t="s">
        <v>520</v>
      </c>
      <c r="G17" s="151">
        <v>18</v>
      </c>
      <c r="H17" s="142">
        <v>21.727439999999998</v>
      </c>
      <c r="I17" s="118">
        <v>66.960000000000008</v>
      </c>
      <c r="J17" s="119">
        <v>11.16</v>
      </c>
      <c r="K17" s="130">
        <v>0</v>
      </c>
      <c r="L17" s="132">
        <f t="shared" si="0"/>
        <v>11.16</v>
      </c>
      <c r="M17" s="141">
        <f t="shared" si="1"/>
        <v>66.960000000000008</v>
      </c>
      <c r="N17" s="132">
        <f t="shared" si="2"/>
        <v>45.232560000000007</v>
      </c>
    </row>
    <row r="18" spans="1:14" s="8" customFormat="1" ht="20.100000000000001" customHeight="1" x14ac:dyDescent="0.35">
      <c r="A18" s="41">
        <v>2954</v>
      </c>
      <c r="B18" s="48">
        <v>6</v>
      </c>
      <c r="C18" s="50" t="s">
        <v>510</v>
      </c>
      <c r="D18" s="61" t="s">
        <v>2</v>
      </c>
      <c r="E18" s="128">
        <v>0</v>
      </c>
      <c r="F18" s="66" t="s">
        <v>521</v>
      </c>
      <c r="G18" s="151">
        <v>36</v>
      </c>
      <c r="H18" s="142">
        <v>62.078399999999995</v>
      </c>
      <c r="I18" s="118">
        <v>159</v>
      </c>
      <c r="J18" s="119">
        <v>26.5</v>
      </c>
      <c r="K18" s="130">
        <v>0</v>
      </c>
      <c r="L18" s="132">
        <f t="shared" si="0"/>
        <v>26.5</v>
      </c>
      <c r="M18" s="141">
        <f t="shared" si="1"/>
        <v>159</v>
      </c>
      <c r="N18" s="132">
        <f t="shared" si="2"/>
        <v>96.921600000000012</v>
      </c>
    </row>
    <row r="19" spans="1:14" s="8" customFormat="1" ht="20.100000000000001" customHeight="1" x14ac:dyDescent="0.35">
      <c r="A19" s="41" t="s">
        <v>522</v>
      </c>
      <c r="B19" s="48">
        <v>12</v>
      </c>
      <c r="C19" s="50" t="s">
        <v>510</v>
      </c>
      <c r="D19" s="61" t="s">
        <v>2</v>
      </c>
      <c r="E19" s="128">
        <v>0</v>
      </c>
      <c r="F19" s="66" t="s">
        <v>523</v>
      </c>
      <c r="G19" s="151">
        <v>30</v>
      </c>
      <c r="H19" s="142">
        <v>103.464</v>
      </c>
      <c r="I19" s="118">
        <v>283.79999999999995</v>
      </c>
      <c r="J19" s="119">
        <v>23.65</v>
      </c>
      <c r="K19" s="130">
        <v>0</v>
      </c>
      <c r="L19" s="132">
        <f t="shared" si="0"/>
        <v>23.65</v>
      </c>
      <c r="M19" s="141">
        <f t="shared" si="1"/>
        <v>283.79999999999995</v>
      </c>
      <c r="N19" s="132">
        <f t="shared" si="2"/>
        <v>180.33599999999996</v>
      </c>
    </row>
    <row r="20" spans="1:14" s="8" customFormat="1" ht="20.100000000000001" customHeight="1" x14ac:dyDescent="0.35">
      <c r="A20" s="41">
        <v>2950</v>
      </c>
      <c r="B20" s="48">
        <v>12</v>
      </c>
      <c r="C20" s="50" t="s">
        <v>510</v>
      </c>
      <c r="D20" s="61" t="s">
        <v>2</v>
      </c>
      <c r="E20" s="128">
        <v>0</v>
      </c>
      <c r="F20" s="66" t="s">
        <v>524</v>
      </c>
      <c r="G20" s="151">
        <v>17</v>
      </c>
      <c r="H20" s="142">
        <v>41.04072</v>
      </c>
      <c r="I20" s="118">
        <v>158.39999999999998</v>
      </c>
      <c r="J20" s="119">
        <v>13.2</v>
      </c>
      <c r="K20" s="130">
        <v>0</v>
      </c>
      <c r="L20" s="132">
        <f t="shared" si="0"/>
        <v>13.2</v>
      </c>
      <c r="M20" s="141">
        <f t="shared" si="1"/>
        <v>158.39999999999998</v>
      </c>
      <c r="N20" s="132">
        <f t="shared" si="2"/>
        <v>117.35927999999998</v>
      </c>
    </row>
    <row r="21" spans="1:14" s="8" customFormat="1" ht="20.100000000000001" customHeight="1" x14ac:dyDescent="0.35">
      <c r="A21" s="41" t="s">
        <v>525</v>
      </c>
      <c r="B21" s="48">
        <v>6</v>
      </c>
      <c r="C21" s="50" t="s">
        <v>510</v>
      </c>
      <c r="D21" s="61" t="s">
        <v>2</v>
      </c>
      <c r="E21" s="128">
        <v>0</v>
      </c>
      <c r="F21" s="66" t="s">
        <v>526</v>
      </c>
      <c r="G21" s="151">
        <v>30</v>
      </c>
      <c r="H21" s="142">
        <v>36.212399999999995</v>
      </c>
      <c r="I21" s="118">
        <v>91.679999999999993</v>
      </c>
      <c r="J21" s="119">
        <v>15.28</v>
      </c>
      <c r="K21" s="130">
        <v>0</v>
      </c>
      <c r="L21" s="132">
        <f t="shared" si="0"/>
        <v>15.28</v>
      </c>
      <c r="M21" s="141">
        <f t="shared" si="1"/>
        <v>91.679999999999993</v>
      </c>
      <c r="N21" s="132">
        <f t="shared" si="2"/>
        <v>55.467599999999997</v>
      </c>
    </row>
    <row r="22" spans="1:14" s="8" customFormat="1" ht="20.100000000000001" customHeight="1" x14ac:dyDescent="0.35">
      <c r="A22" s="41">
        <v>2941</v>
      </c>
      <c r="B22" s="48">
        <v>6</v>
      </c>
      <c r="C22" s="50" t="s">
        <v>510</v>
      </c>
      <c r="D22" s="61" t="s">
        <v>2</v>
      </c>
      <c r="E22" s="128">
        <v>0</v>
      </c>
      <c r="F22" s="66" t="s">
        <v>527</v>
      </c>
      <c r="G22" s="151">
        <v>36</v>
      </c>
      <c r="H22" s="142">
        <v>43.454879999999996</v>
      </c>
      <c r="I22" s="118">
        <v>127.68</v>
      </c>
      <c r="J22" s="119">
        <v>21.28</v>
      </c>
      <c r="K22" s="130">
        <v>0</v>
      </c>
      <c r="L22" s="132">
        <f t="shared" si="0"/>
        <v>21.28</v>
      </c>
      <c r="M22" s="141">
        <f t="shared" si="1"/>
        <v>127.68</v>
      </c>
      <c r="N22" s="132">
        <f t="shared" si="2"/>
        <v>84.225120000000004</v>
      </c>
    </row>
    <row r="23" spans="1:14" s="8" customFormat="1" ht="20.100000000000001" customHeight="1" x14ac:dyDescent="0.35">
      <c r="A23" s="41">
        <v>2949</v>
      </c>
      <c r="B23" s="48">
        <v>6</v>
      </c>
      <c r="C23" s="50" t="s">
        <v>510</v>
      </c>
      <c r="D23" s="61" t="s">
        <v>2</v>
      </c>
      <c r="E23" s="128">
        <v>0</v>
      </c>
      <c r="F23" s="66" t="s">
        <v>528</v>
      </c>
      <c r="G23" s="151">
        <v>38</v>
      </c>
      <c r="H23" s="142">
        <v>45.869039999999998</v>
      </c>
      <c r="I23" s="118">
        <v>112.74</v>
      </c>
      <c r="J23" s="119">
        <v>18.79</v>
      </c>
      <c r="K23" s="130">
        <v>0</v>
      </c>
      <c r="L23" s="132">
        <f t="shared" si="0"/>
        <v>18.79</v>
      </c>
      <c r="M23" s="141">
        <f t="shared" si="1"/>
        <v>112.74</v>
      </c>
      <c r="N23" s="132">
        <f t="shared" si="2"/>
        <v>66.870959999999997</v>
      </c>
    </row>
    <row r="24" spans="1:14" ht="20.100000000000001" customHeight="1" x14ac:dyDescent="0.35">
      <c r="A24" s="41" t="s">
        <v>529</v>
      </c>
      <c r="B24" s="48">
        <v>6</v>
      </c>
      <c r="C24" s="50" t="s">
        <v>510</v>
      </c>
      <c r="D24" s="61" t="s">
        <v>2</v>
      </c>
      <c r="E24" s="128">
        <v>0</v>
      </c>
      <c r="F24" s="66" t="s">
        <v>530</v>
      </c>
      <c r="G24" s="151">
        <v>40</v>
      </c>
      <c r="H24" s="142">
        <v>48.283199999999994</v>
      </c>
      <c r="I24" s="118">
        <v>202.32</v>
      </c>
      <c r="J24" s="119">
        <v>33.72</v>
      </c>
      <c r="K24" s="130">
        <v>0</v>
      </c>
      <c r="L24" s="132">
        <f t="shared" ref="L24:L29" si="3">SUM(J24*(1-K24))</f>
        <v>33.72</v>
      </c>
      <c r="M24" s="141">
        <f t="shared" ref="M24:M29" si="4">L24*B24</f>
        <v>202.32</v>
      </c>
      <c r="N24" s="132">
        <f t="shared" ref="N24:N29" si="5">M24-H24</f>
        <v>154.0368</v>
      </c>
    </row>
    <row r="25" spans="1:14" ht="20.100000000000001" customHeight="1" x14ac:dyDescent="0.35">
      <c r="A25" s="41" t="s">
        <v>531</v>
      </c>
      <c r="B25" s="48">
        <v>4</v>
      </c>
      <c r="C25" s="50" t="s">
        <v>510</v>
      </c>
      <c r="D25" s="61" t="s">
        <v>2</v>
      </c>
      <c r="E25" s="128">
        <v>0</v>
      </c>
      <c r="F25" s="66" t="s">
        <v>532</v>
      </c>
      <c r="G25" s="151">
        <v>40</v>
      </c>
      <c r="H25" s="142">
        <v>32.188799999999993</v>
      </c>
      <c r="I25" s="118">
        <v>220</v>
      </c>
      <c r="J25" s="119">
        <v>55</v>
      </c>
      <c r="K25" s="130">
        <v>0</v>
      </c>
      <c r="L25" s="132">
        <f t="shared" si="3"/>
        <v>55</v>
      </c>
      <c r="M25" s="141">
        <f t="shared" si="4"/>
        <v>220</v>
      </c>
      <c r="N25" s="132">
        <f t="shared" si="5"/>
        <v>187.81120000000001</v>
      </c>
    </row>
    <row r="26" spans="1:14" ht="20.100000000000001" customHeight="1" x14ac:dyDescent="0.35">
      <c r="A26" s="41">
        <v>2952</v>
      </c>
      <c r="B26" s="48">
        <v>6</v>
      </c>
      <c r="C26" s="50" t="s">
        <v>510</v>
      </c>
      <c r="D26" s="61" t="s">
        <v>2</v>
      </c>
      <c r="E26" s="128">
        <v>0</v>
      </c>
      <c r="F26" s="66" t="s">
        <v>533</v>
      </c>
      <c r="G26" s="151">
        <v>31</v>
      </c>
      <c r="H26" s="142">
        <v>37.41948</v>
      </c>
      <c r="I26" s="118">
        <v>145.26</v>
      </c>
      <c r="J26" s="119">
        <v>24.21</v>
      </c>
      <c r="K26" s="130">
        <v>0</v>
      </c>
      <c r="L26" s="132">
        <f t="shared" si="3"/>
        <v>24.21</v>
      </c>
      <c r="M26" s="141">
        <f t="shared" si="4"/>
        <v>145.26</v>
      </c>
      <c r="N26" s="132">
        <f t="shared" si="5"/>
        <v>107.84052</v>
      </c>
    </row>
    <row r="27" spans="1:14" ht="20.100000000000001" customHeight="1" x14ac:dyDescent="0.35">
      <c r="A27" s="41">
        <v>514</v>
      </c>
      <c r="B27" s="48">
        <v>12</v>
      </c>
      <c r="C27" s="50" t="s">
        <v>499</v>
      </c>
      <c r="D27" s="61" t="s">
        <v>534</v>
      </c>
      <c r="E27" s="128">
        <v>0</v>
      </c>
      <c r="F27" s="66" t="s">
        <v>535</v>
      </c>
      <c r="G27" s="151">
        <v>40</v>
      </c>
      <c r="H27" s="142">
        <v>0</v>
      </c>
      <c r="I27" s="118">
        <v>189.60000000000002</v>
      </c>
      <c r="J27" s="119">
        <v>15.8</v>
      </c>
      <c r="K27" s="130">
        <v>0</v>
      </c>
      <c r="L27" s="132">
        <f t="shared" si="3"/>
        <v>15.8</v>
      </c>
      <c r="M27" s="141">
        <f t="shared" si="4"/>
        <v>189.60000000000002</v>
      </c>
      <c r="N27" s="132">
        <f t="shared" si="5"/>
        <v>189.60000000000002</v>
      </c>
    </row>
    <row r="28" spans="1:14" ht="20.100000000000001" customHeight="1" x14ac:dyDescent="0.35">
      <c r="A28" s="41">
        <v>515</v>
      </c>
      <c r="B28" s="48">
        <v>12</v>
      </c>
      <c r="C28" s="50" t="s">
        <v>536</v>
      </c>
      <c r="D28" s="61" t="s">
        <v>534</v>
      </c>
      <c r="E28" s="128">
        <v>0</v>
      </c>
      <c r="F28" s="66" t="s">
        <v>537</v>
      </c>
      <c r="G28" s="151">
        <v>40</v>
      </c>
      <c r="H28" s="142">
        <v>0</v>
      </c>
      <c r="I28" s="118">
        <v>300</v>
      </c>
      <c r="J28" s="119">
        <v>25</v>
      </c>
      <c r="K28" s="130">
        <v>0</v>
      </c>
      <c r="L28" s="132">
        <f t="shared" si="3"/>
        <v>25</v>
      </c>
      <c r="M28" s="141">
        <f t="shared" si="4"/>
        <v>300</v>
      </c>
      <c r="N28" s="132">
        <f t="shared" si="5"/>
        <v>300</v>
      </c>
    </row>
    <row r="29" spans="1:14" ht="20.100000000000001" customHeight="1" x14ac:dyDescent="0.35">
      <c r="A29" s="41">
        <v>516</v>
      </c>
      <c r="B29" s="48">
        <v>12</v>
      </c>
      <c r="C29" s="50" t="s">
        <v>538</v>
      </c>
      <c r="D29" s="61" t="s">
        <v>534</v>
      </c>
      <c r="E29" s="128">
        <v>0</v>
      </c>
      <c r="F29" s="66" t="s">
        <v>539</v>
      </c>
      <c r="G29" s="151">
        <v>40</v>
      </c>
      <c r="H29" s="142">
        <v>0</v>
      </c>
      <c r="I29" s="118">
        <v>186</v>
      </c>
      <c r="J29" s="119">
        <v>15.5</v>
      </c>
      <c r="K29" s="130">
        <v>0</v>
      </c>
      <c r="L29" s="132">
        <f t="shared" si="3"/>
        <v>15.5</v>
      </c>
      <c r="M29" s="141">
        <f t="shared" si="4"/>
        <v>186</v>
      </c>
      <c r="N29" s="132">
        <f t="shared" si="5"/>
        <v>186</v>
      </c>
    </row>
  </sheetData>
  <sheetProtection selectLockedCells="1" selectUnlockedCells="1"/>
  <autoFilter ref="A3:N3" xr:uid="{00000000-0009-0000-0000-000003000000}">
    <sortState xmlns:xlrd2="http://schemas.microsoft.com/office/spreadsheetml/2017/richdata2" ref="A4:N23">
      <sortCondition ref="F3"/>
    </sortState>
  </autoFilter>
  <mergeCells count="14">
    <mergeCell ref="A1:A2"/>
    <mergeCell ref="B1:B2"/>
    <mergeCell ref="C1:C2"/>
    <mergeCell ref="F1:F2"/>
    <mergeCell ref="K1:K2"/>
    <mergeCell ref="G1:G2"/>
    <mergeCell ref="J1:J2"/>
    <mergeCell ref="I1:I2"/>
    <mergeCell ref="H1:H2"/>
    <mergeCell ref="M1:M2"/>
    <mergeCell ref="N1:N2"/>
    <mergeCell ref="D1:D2"/>
    <mergeCell ref="E1:E2"/>
    <mergeCell ref="L1:L2"/>
  </mergeCells>
  <phoneticPr fontId="17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E41D616036D4FAAA3BE7C35E7687E" ma:contentTypeVersion="10" ma:contentTypeDescription="Create a new document." ma:contentTypeScope="" ma:versionID="242ad6a95e08795e5b360f4883ffc9e0">
  <xsd:schema xmlns:xsd="http://www.w3.org/2001/XMLSchema" xmlns:xs="http://www.w3.org/2001/XMLSchema" xmlns:p="http://schemas.microsoft.com/office/2006/metadata/properties" xmlns:ns2="fe9c5fde-5546-47f9-aab5-91a3ade6b44c" xmlns:ns3="8f919069-4cf6-4943-b69f-9dcdeff3b1b1" targetNamespace="http://schemas.microsoft.com/office/2006/metadata/properties" ma:root="true" ma:fieldsID="303997dd003d9f720e1b70f2779b6a60" ns2:_="" ns3:_="">
    <xsd:import namespace="fe9c5fde-5546-47f9-aab5-91a3ade6b44c"/>
    <xsd:import namespace="8f919069-4cf6-4943-b69f-9dcdeff3b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c5fde-5546-47f9-aab5-91a3ade6b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19069-4cf6-4943-b69f-9dcdeff3b1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74CF3-3A3E-4E76-B32E-BE7EF1DF398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458ac96-d198-410b-8788-7291a6347ef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593e62-9d2c-4b45-b9ba-c0d918e378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CBC691-855F-4516-A45C-A7B36B301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c5fde-5546-47f9-aab5-91a3ade6b44c"/>
    <ds:schemaRef ds:uri="8f919069-4cf6-4943-b69f-9dcdeff3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0EF7D-90EA-44EC-A108-609DA34A44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Wine</vt:lpstr>
      <vt:lpstr>Nationals </vt:lpstr>
      <vt:lpstr>Fortified</vt:lpstr>
      <vt:lpstr>Spirit</vt:lpstr>
      <vt:lpstr>Spirit!Print_Area</vt:lpstr>
      <vt:lpstr>Wine!Print_Area</vt:lpstr>
      <vt:lpstr>Spirit!Print_Titles</vt:lpstr>
      <vt:lpstr>Wine!Print_Titles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Critchley</dc:creator>
  <cp:lastModifiedBy>John Critchley</cp:lastModifiedBy>
  <cp:lastPrinted>2018-02-12T11:54:10Z</cp:lastPrinted>
  <dcterms:created xsi:type="dcterms:W3CDTF">2012-04-26T10:15:52Z</dcterms:created>
  <dcterms:modified xsi:type="dcterms:W3CDTF">2021-02-01T13:14:25Z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0x010100D4EE41D616036D4FAAA3BE7C35E7687E</vt:lpwstr>
  </property>
</Properties>
</file>